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22008 Fort Collins Planning Lighting Education (CoFC)\_Outgoing\2023-08-02 to David S (Revised Calculator)\"/>
    </mc:Choice>
  </mc:AlternateContent>
  <xr:revisionPtr revIDLastSave="0" documentId="13_ncr:1_{702061D4-15AB-4BDB-97E6-B96D8D1C89A9}" xr6:coauthVersionLast="47" xr6:coauthVersionMax="47" xr10:uidLastSave="{00000000-0000-0000-0000-000000000000}"/>
  <bookViews>
    <workbookView xWindow="-25245" yWindow="2745" windowWidth="21630" windowHeight="11250" xr2:uid="{83594903-EE9E-4610-8378-C9C617625FB3}"/>
  </bookViews>
  <sheets>
    <sheet name="COMPLIANCE FORM" sheetId="2" r:id="rId1"/>
    <sheet name="Ref - Zone Districts" sheetId="1" r:id="rId2"/>
    <sheet name="Ref - Lighting Context Are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5" i="2" l="1" a="1"/>
  <c r="S25" i="2" s="1"/>
  <c r="S26" i="2" a="1"/>
  <c r="S26" i="2" s="1"/>
  <c r="S27" i="2" a="1"/>
  <c r="S27" i="2" s="1"/>
  <c r="S28" i="2" a="1"/>
  <c r="S28" i="2" s="1"/>
  <c r="S29" i="2" a="1"/>
  <c r="S29" i="2" s="1"/>
  <c r="S30" i="2" a="1"/>
  <c r="S30" i="2" s="1"/>
  <c r="S31" i="2" a="1"/>
  <c r="S31" i="2" s="1"/>
  <c r="C7" i="2" l="1"/>
  <c r="P25" i="2" a="1"/>
  <c r="P25" i="2" s="1"/>
  <c r="P26" i="2" a="1"/>
  <c r="P26" i="2" s="1"/>
  <c r="P27" i="2" a="1"/>
  <c r="P27" i="2" s="1"/>
  <c r="P28" i="2" a="1"/>
  <c r="P28" i="2" s="1"/>
  <c r="P29" i="2" a="1"/>
  <c r="P29" i="2" s="1"/>
  <c r="P30" i="2" a="1"/>
  <c r="P30" i="2" s="1"/>
  <c r="P31" i="2" a="1"/>
  <c r="P31" i="2" s="1"/>
  <c r="R25" i="2" a="1"/>
  <c r="R25" i="2" s="1"/>
  <c r="R26" i="2" a="1"/>
  <c r="R26" i="2" s="1"/>
  <c r="R27" i="2" a="1"/>
  <c r="R27" i="2" s="1"/>
  <c r="R28" i="2" a="1"/>
  <c r="R28" i="2" s="1"/>
  <c r="R29" i="2" a="1"/>
  <c r="R29" i="2" s="1"/>
  <c r="R30" i="2" a="1"/>
  <c r="R30" i="2" s="1"/>
  <c r="R31" i="2" a="1"/>
  <c r="R31" i="2" s="1"/>
  <c r="B17" i="2"/>
  <c r="D17" i="2" s="1"/>
  <c r="B18" i="2"/>
  <c r="D18" i="2" s="1"/>
  <c r="Q25" i="2"/>
  <c r="Q26" i="2"/>
  <c r="Q27" i="2"/>
  <c r="Q28" i="2"/>
  <c r="Q29" i="2"/>
  <c r="Q30" i="2"/>
  <c r="Q31" i="2"/>
  <c r="E22" i="2"/>
  <c r="C39" i="2" s="1"/>
  <c r="E23" i="2"/>
  <c r="E24" i="2"/>
  <c r="E25" i="2"/>
  <c r="E26" i="2"/>
  <c r="E27" i="2"/>
  <c r="E29" i="2"/>
  <c r="E30" i="2"/>
  <c r="E31" i="2"/>
  <c r="E28" i="2"/>
  <c r="O22" i="2"/>
  <c r="O23" i="2"/>
  <c r="O24" i="2"/>
  <c r="O25" i="2"/>
  <c r="O26" i="2"/>
  <c r="O27" i="2"/>
  <c r="O28" i="2"/>
  <c r="O30" i="2"/>
  <c r="O31" i="2"/>
  <c r="O29" i="2"/>
  <c r="C40" i="2"/>
  <c r="C2" i="2"/>
  <c r="P24" i="2" s="1" a="1"/>
  <c r="P24" i="2" s="1"/>
  <c r="R24" i="2" l="1" a="1"/>
  <c r="R24" i="2" s="1"/>
  <c r="C3" i="2"/>
  <c r="Q22" i="2"/>
  <c r="P22" i="2" a="1"/>
  <c r="P22" i="2" s="1"/>
  <c r="R22" i="2" a="1"/>
  <c r="R22" i="2" s="1"/>
  <c r="C36" i="2"/>
  <c r="P23" i="2" a="1"/>
  <c r="P23" i="2" s="1"/>
  <c r="R23" i="2" a="1"/>
  <c r="R23" i="2" s="1"/>
  <c r="C37" i="2"/>
  <c r="C33" i="2" a="1"/>
  <c r="C33" i="2" s="1"/>
  <c r="C34" i="2" a="1"/>
  <c r="C34" i="2" s="1"/>
  <c r="Q24" i="2"/>
  <c r="Q23" i="2"/>
  <c r="S24" i="2" l="1" a="1"/>
  <c r="S24" i="2" s="1"/>
  <c r="S22" i="2" a="1"/>
  <c r="S22" i="2" s="1"/>
  <c r="S23" i="2" a="1"/>
  <c r="S23" i="2" s="1"/>
  <c r="E37" i="2"/>
  <c r="C41" i="2"/>
  <c r="E41" i="2" s="1"/>
  <c r="F3" i="2" l="1" a="1"/>
  <c r="F3" i="2" s="1"/>
  <c r="F1" i="2" a="1"/>
  <c r="F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<sst xmlns="http://schemas.openxmlformats.org/spreadsheetml/2006/main" count="189" uniqueCount="112">
  <si>
    <t>Lighting Context Area</t>
  </si>
  <si>
    <t>Land Use</t>
  </si>
  <si>
    <t>Table 3.2.4-1 Lighting Context Area.</t>
  </si>
  <si>
    <t>LC0</t>
  </si>
  <si>
    <t>LC1</t>
  </si>
  <si>
    <t>LC2</t>
  </si>
  <si>
    <t>LC3</t>
  </si>
  <si>
    <t>Natural Area
Conservation Easement</t>
  </si>
  <si>
    <t>Single Family
Multi-Family
Light Industrial
Employment
Portions of Harmony District</t>
  </si>
  <si>
    <t>Commercial
Industrial
Portions of Harmony District
High Density Residential</t>
  </si>
  <si>
    <t>Portions of Downtown
24-Hour Emergency Medical Sites</t>
  </si>
  <si>
    <t>Zone District</t>
  </si>
  <si>
    <t>Lighting Zone</t>
  </si>
  <si>
    <t>Maximum Light Trespass</t>
  </si>
  <si>
    <t>Maximum CCT</t>
  </si>
  <si>
    <t>Trespass Limit</t>
  </si>
  <si>
    <t>K</t>
  </si>
  <si>
    <t>Parking Lot Lm per space</t>
  </si>
  <si>
    <t>Lm per sf</t>
  </si>
  <si>
    <t>B</t>
  </si>
  <si>
    <t>U</t>
  </si>
  <si>
    <t>G</t>
  </si>
  <si>
    <t>Building Façade</t>
  </si>
  <si>
    <t>Outdoor Dining</t>
  </si>
  <si>
    <t>Gasoline Station</t>
  </si>
  <si>
    <t>Square feet of hardscape</t>
  </si>
  <si>
    <t>Luminaire Types</t>
  </si>
  <si>
    <t>Lumens</t>
  </si>
  <si>
    <t>Quantity</t>
  </si>
  <si>
    <t>Type 4</t>
  </si>
  <si>
    <t>Type 5</t>
  </si>
  <si>
    <t>Type 6</t>
  </si>
  <si>
    <t>Type 7</t>
  </si>
  <si>
    <t>Type 8</t>
  </si>
  <si>
    <t>Type 9</t>
  </si>
  <si>
    <t>Type 10</t>
  </si>
  <si>
    <t>Aimed towards property line?</t>
  </si>
  <si>
    <t>Application</t>
  </si>
  <si>
    <t>Outdoor Sales Lot</t>
  </si>
  <si>
    <t>square feet</t>
  </si>
  <si>
    <t>Maximum Calculated Light Trespass</t>
  </si>
  <si>
    <t>Add'l lumen allowance 1</t>
  </si>
  <si>
    <t>Add'l lumen allowance 2</t>
  </si>
  <si>
    <t>No</t>
  </si>
  <si>
    <t>YES</t>
  </si>
  <si>
    <t>MAXIMUM ALLOWED BUG RATINGS</t>
  </si>
  <si>
    <t>Total Lumens</t>
  </si>
  <si>
    <t>Closest distance to the property line (ft)</t>
  </si>
  <si>
    <t>BUG Ratings</t>
  </si>
  <si>
    <t>fc</t>
  </si>
  <si>
    <t>lumens</t>
  </si>
  <si>
    <t>Total base lumens</t>
  </si>
  <si>
    <t>Total base allowance</t>
  </si>
  <si>
    <t>Total lumens application 1</t>
  </si>
  <si>
    <t>Total lumens application 2</t>
  </si>
  <si>
    <t>Min MH</t>
  </si>
  <si>
    <t>Max MH</t>
  </si>
  <si>
    <t>Aiming</t>
  </si>
  <si>
    <t>Mounting heights to property line</t>
  </si>
  <si>
    <t>M-M-N (LC1)</t>
  </si>
  <si>
    <t>M-M-N (LC3)</t>
  </si>
  <si>
    <t>D (LC3)</t>
  </si>
  <si>
    <t>R-U-L (LC1)</t>
  </si>
  <si>
    <t>U-E (LC1)</t>
  </si>
  <si>
    <t>R-F (LC1)</t>
  </si>
  <si>
    <t>N-C-L (LC1)</t>
  </si>
  <si>
    <t>R-C (LC1)</t>
  </si>
  <si>
    <t>L-M-N (LC1)</t>
  </si>
  <si>
    <t>I (LC1)</t>
  </si>
  <si>
    <t>E (LC1)</t>
  </si>
  <si>
    <t>T (LC1)</t>
  </si>
  <si>
    <t>C-N (LC2)</t>
  </si>
  <si>
    <t>C-C (LC2)</t>
  </si>
  <si>
    <t>C-C-N (LC2)</t>
  </si>
  <si>
    <t>C-C-R (LC2)</t>
  </si>
  <si>
    <t>C-G (LC2)</t>
  </si>
  <si>
    <t>C-L (LC2)</t>
  </si>
  <si>
    <t>I (LC2)</t>
  </si>
  <si>
    <t>R-D-R (LC2)</t>
  </si>
  <si>
    <t>D (LC2)</t>
  </si>
  <si>
    <t>H-M-N (LC2)</t>
  </si>
  <si>
    <t>Parking Spaces</t>
  </si>
  <si>
    <t>spaces</t>
  </si>
  <si>
    <t>OR</t>
  </si>
  <si>
    <t>Specified CCT</t>
  </si>
  <si>
    <t>Additional Allowance Applications (Hardscape method ONLY)</t>
  </si>
  <si>
    <t>First Application</t>
  </si>
  <si>
    <t>Second Application</t>
  </si>
  <si>
    <t>H-C (LC2)</t>
  </si>
  <si>
    <t>P-O-L (City Natural Areas) (LC0)</t>
  </si>
  <si>
    <t>P-O-L (City Parks) (LC1)</t>
  </si>
  <si>
    <t>PASS/ FAIL</t>
  </si>
  <si>
    <t>1)</t>
  </si>
  <si>
    <t>2)</t>
  </si>
  <si>
    <t>3a)</t>
  </si>
  <si>
    <t>3b)</t>
  </si>
  <si>
    <t>4)</t>
  </si>
  <si>
    <t>5)</t>
  </si>
  <si>
    <t>6)</t>
  </si>
  <si>
    <r>
      <t xml:space="preserve">How to use this calculator:
1) Enter the applicable Zone District in which your project is located. The identification of the apllicable Zone District informs the compliance form to apply the applicable Lighting Zone and the corresponding criteria. 
2) Enter your maximum calculated light trespass illuminance values.  Calculation points should be spaced at no more than ten (10) ft, located at the ground level and aimed at the zenith. 
3) Select a lumen allowance method. Note that the parking space method is only applicable for properties with up to ten (10) parking spaces. 
4) If using the hardscape method,  up to two applicable additional allowance applications may be selected. Input the quantity of the corresponding unit area or number of pumps. 
5) Fill out the each of the luminaire types used on the project, with the initial lumen output, quantity, CCT specified, mounting height above finished grade, BUG ratings, as well as the closest distance to the property line of that specific luminaire type. </t>
    </r>
    <r>
      <rPr>
        <u/>
        <sz val="11"/>
        <color theme="1"/>
        <rFont val="Calibri"/>
        <family val="2"/>
        <scheme val="minor"/>
      </rPr>
      <t xml:space="preserve">If the luminaire type has installations aimed both towards and away from the property line, test </t>
    </r>
    <r>
      <rPr>
        <b/>
        <u/>
        <sz val="11"/>
        <color theme="1"/>
        <rFont val="Calibri"/>
        <family val="2"/>
        <scheme val="minor"/>
      </rPr>
      <t>both</t>
    </r>
    <r>
      <rPr>
        <u/>
        <sz val="11"/>
        <color theme="1"/>
        <rFont val="Calibri"/>
        <family val="2"/>
        <scheme val="minor"/>
      </rPr>
      <t xml:space="preserve"> scenarios to ensure compliance.</t>
    </r>
    <r>
      <rPr>
        <sz val="11"/>
        <color theme="1"/>
        <rFont val="Calibri"/>
        <family val="2"/>
        <scheme val="minor"/>
      </rPr>
      <t xml:space="preserve"> 
6) If the specified luminaire type is used for an Additional Allowance Application, specify the application. If the application is for "Outdoor Sales Lots" or "Outdoor Dining", specify the maximum distance to the specified area of that luminaire type. If an application that was not selected in step four (4) is selected that cell will turn </t>
    </r>
    <r>
      <rPr>
        <b/>
        <sz val="11"/>
        <color rgb="FFFF0000"/>
        <rFont val="Calibri"/>
        <family val="2"/>
        <scheme val="minor"/>
      </rPr>
      <t>RED</t>
    </r>
    <r>
      <rPr>
        <sz val="11"/>
        <rFont val="Calibri"/>
        <family val="2"/>
        <scheme val="minor"/>
      </rPr>
      <t>.</t>
    </r>
    <r>
      <rPr>
        <sz val="11"/>
        <color rgb="FFFF0000"/>
        <rFont val="Calibri"/>
        <family val="2"/>
        <scheme val="minor"/>
      </rPr>
      <t xml:space="preserve"> </t>
    </r>
    <r>
      <rPr>
        <sz val="11"/>
        <color theme="1"/>
        <rFont val="Calibri"/>
        <family val="2"/>
        <scheme val="minor"/>
      </rPr>
      <t xml:space="preserve">
NOTES: 
a) Cells with an </t>
    </r>
    <r>
      <rPr>
        <b/>
        <sz val="11"/>
        <color theme="5"/>
        <rFont val="Calibri"/>
        <family val="2"/>
        <scheme val="minor"/>
      </rPr>
      <t>ORANGE</t>
    </r>
    <r>
      <rPr>
        <sz val="11"/>
        <color theme="1"/>
        <rFont val="Calibri"/>
        <family val="2"/>
        <scheme val="minor"/>
      </rPr>
      <t xml:space="preserve"> fill are inputs.
b) Cells with a dark </t>
    </r>
    <r>
      <rPr>
        <b/>
        <sz val="11"/>
        <color theme="4" tint="-0.499984740745262"/>
        <rFont val="Calibri"/>
        <family val="2"/>
        <scheme val="minor"/>
      </rPr>
      <t>BLUE</t>
    </r>
    <r>
      <rPr>
        <sz val="11"/>
        <color theme="1"/>
        <rFont val="Calibri"/>
        <family val="2"/>
        <scheme val="minor"/>
      </rPr>
      <t xml:space="preserve"> border are required inputs.
c) Cells that are </t>
    </r>
    <r>
      <rPr>
        <b/>
        <sz val="11"/>
        <color theme="6" tint="-0.499984740745262"/>
        <rFont val="Calibri"/>
        <family val="2"/>
        <scheme val="minor"/>
      </rPr>
      <t>GREY</t>
    </r>
    <r>
      <rPr>
        <sz val="11"/>
        <color theme="1"/>
        <rFont val="Calibri"/>
        <family val="2"/>
        <scheme val="minor"/>
      </rPr>
      <t xml:space="preserve"> have formulas that are proccessing information from inputs. DO NOT change these cells. 
d) If a cell turns </t>
    </r>
    <r>
      <rPr>
        <b/>
        <sz val="11"/>
        <color rgb="FFFF0000"/>
        <rFont val="Calibri"/>
        <family val="2"/>
        <scheme val="minor"/>
      </rPr>
      <t>RED</t>
    </r>
    <r>
      <rPr>
        <b/>
        <sz val="11"/>
        <rFont val="Calibri"/>
        <family val="2"/>
        <scheme val="minor"/>
      </rPr>
      <t xml:space="preserve"> </t>
    </r>
    <r>
      <rPr>
        <sz val="11"/>
        <rFont val="Calibri"/>
        <family val="2"/>
        <scheme val="minor"/>
      </rPr>
      <t xml:space="preserve">it does not meet criteria. 
e) If a cell turns </t>
    </r>
    <r>
      <rPr>
        <b/>
        <sz val="11"/>
        <color rgb="FF00B050"/>
        <rFont val="Calibri"/>
        <family val="2"/>
        <scheme val="minor"/>
      </rPr>
      <t>GREEN</t>
    </r>
    <r>
      <rPr>
        <sz val="11"/>
        <rFont val="Calibri"/>
        <family val="2"/>
        <scheme val="minor"/>
      </rPr>
      <t xml:space="preserve"> it passes criteria.
</t>
    </r>
  </si>
  <si>
    <t>Mounting Height (ft)</t>
  </si>
  <si>
    <t>Base</t>
  </si>
  <si>
    <t>pair of pumps</t>
  </si>
  <si>
    <t xml:space="preserve">If the "Total base lumens" is showing as a FAIL but the "total lumens" is a PASS, there are too many lumens used for a Base application. Left over lumens from an additional application do not contribute to the base allowance. </t>
  </si>
  <si>
    <t>Passoword</t>
  </si>
  <si>
    <t>FortCollins</t>
  </si>
  <si>
    <t>Distance from boundary of application, if specified (ft)</t>
  </si>
  <si>
    <t>PL1</t>
  </si>
  <si>
    <t>PL2</t>
  </si>
  <si>
    <t>PL1 - different aiming</t>
  </si>
  <si>
    <t>Yes</t>
  </si>
  <si>
    <t>Error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</si>
</sst>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0"/>
      <color theme="1"/>
      <name val="Arial"/>
      <family val="2"/>
    </font>
    <font>
      <b/>
      <sz val="10"/>
      <color theme="1"/>
      <name val="Arial"/>
      <family val="2"/>
    </font>
    <font>
      <sz val="8"/>
      <name val="Calibri"/>
      <family val="2"/>
      <scheme val="minor"/>
    </font>
    <font>
      <b/>
      <sz val="11"/>
      <color theme="1"/>
      <name val="Calibri"/>
      <family val="2"/>
      <scheme val="minor"/>
    </font>
    <font>
      <sz val="11"/>
      <color theme="1"/>
      <name val="Calibri"/>
      <family val="2"/>
      <scheme val="minor"/>
    </font>
    <font>
      <b/>
      <sz val="11"/>
      <color theme="4" tint="-0.499984740745262"/>
      <name val="Calibri"/>
      <family val="2"/>
      <scheme val="minor"/>
    </font>
    <font>
      <b/>
      <sz val="11"/>
      <color rgb="FFFF0000"/>
      <name val="Calibri"/>
      <family val="2"/>
      <scheme val="minor"/>
    </font>
    <font>
      <b/>
      <sz val="11"/>
      <name val="Calibri"/>
      <family val="2"/>
      <scheme val="minor"/>
    </font>
    <font>
      <sz val="11"/>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b/>
      <sz val="11"/>
      <color theme="5"/>
      <name val="Calibri"/>
      <family val="2"/>
      <scheme val="minor"/>
    </font>
    <font>
      <b/>
      <sz val="11"/>
      <color theme="6" tint="-0.499984740745262"/>
      <name val="Calibri"/>
      <family val="2"/>
      <scheme val="minor"/>
    </font>
    <font>
      <sz val="11"/>
      <color rgb="FFFF0000"/>
      <name val="Calibri"/>
      <family val="2"/>
      <scheme val="minor"/>
    </font>
    <font>
      <sz val="9"/>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style="thin">
        <color theme="6" tint="0.39991454817346722"/>
      </left>
      <right style="thin">
        <color theme="6" tint="0.39991454817346722"/>
      </right>
      <top style="thin">
        <color theme="6" tint="0.39991454817346722"/>
      </top>
      <bottom style="thin">
        <color theme="6" tint="0.39991454817346722"/>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6" tint="0.39991454817346722"/>
      </right>
      <top style="thin">
        <color theme="6" tint="0.39994506668294322"/>
      </top>
      <bottom style="thin">
        <color theme="6" tint="0.39991454817346722"/>
      </bottom>
      <diagonal/>
    </border>
    <border>
      <left style="thin">
        <color theme="6" tint="0.39991454817346722"/>
      </left>
      <right style="thin">
        <color theme="6" tint="0.39991454817346722"/>
      </right>
      <top style="medium">
        <color theme="6" tint="0.39991454817346722"/>
      </top>
      <bottom style="thin">
        <color theme="6" tint="0.39991454817346722"/>
      </bottom>
      <diagonal/>
    </border>
    <border>
      <left style="thin">
        <color theme="6" tint="0.39991454817346722"/>
      </left>
      <right style="thin">
        <color theme="6" tint="0.39991454817346722"/>
      </right>
      <top style="thin">
        <color theme="6" tint="0.39994506668294322"/>
      </top>
      <bottom style="thin">
        <color theme="6" tint="0.39991454817346722"/>
      </bottom>
      <diagonal/>
    </border>
    <border>
      <left style="thin">
        <color theme="6" tint="0.39994506668294322"/>
      </left>
      <right style="thin">
        <color theme="6" tint="0.39991454817346722"/>
      </right>
      <top style="thin">
        <color theme="6" tint="0.39991454817346722"/>
      </top>
      <bottom style="thin">
        <color theme="6" tint="0.39994506668294322"/>
      </bottom>
      <diagonal/>
    </border>
    <border>
      <left style="thin">
        <color theme="6" tint="0.39991454817346722"/>
      </left>
      <right style="thin">
        <color theme="6" tint="0.39991454817346722"/>
      </right>
      <top style="thin">
        <color theme="6" tint="0.39991454817346722"/>
      </top>
      <bottom style="medium">
        <color theme="6" tint="0.39991454817346722"/>
      </bottom>
      <diagonal/>
    </border>
    <border>
      <left style="thin">
        <color theme="6" tint="0.39991454817346722"/>
      </left>
      <right style="thin">
        <color theme="6" tint="0.39991454817346722"/>
      </right>
      <top style="thin">
        <color theme="6" tint="0.39991454817346722"/>
      </top>
      <bottom style="thin">
        <color theme="6" tint="0.39994506668294322"/>
      </bottom>
      <diagonal/>
    </border>
    <border>
      <left/>
      <right/>
      <top style="medium">
        <color theme="6"/>
      </top>
      <bottom style="medium">
        <color theme="6"/>
      </bottom>
      <diagonal/>
    </border>
    <border>
      <left style="medium">
        <color theme="6"/>
      </left>
      <right style="medium">
        <color theme="6"/>
      </right>
      <top/>
      <bottom/>
      <diagonal/>
    </border>
    <border>
      <left style="medium">
        <color theme="6"/>
      </left>
      <right style="medium">
        <color theme="6"/>
      </right>
      <top style="medium">
        <color theme="6"/>
      </top>
      <bottom style="medium">
        <color theme="6"/>
      </bottom>
      <diagonal/>
    </border>
    <border>
      <left/>
      <right style="medium">
        <color theme="6"/>
      </right>
      <top style="medium">
        <color theme="6"/>
      </top>
      <bottom style="medium">
        <color theme="6"/>
      </bottom>
      <diagonal/>
    </border>
    <border>
      <left style="mediumDashDot">
        <color theme="4"/>
      </left>
      <right style="mediumDashDot">
        <color theme="4"/>
      </right>
      <top style="mediumDashDot">
        <color theme="4"/>
      </top>
      <bottom style="mediumDashDot">
        <color theme="4"/>
      </bottom>
      <diagonal/>
    </border>
    <border>
      <left style="mediumDashDot">
        <color theme="4"/>
      </left>
      <right/>
      <top style="mediumDashDot">
        <color theme="4"/>
      </top>
      <bottom style="mediumDashDot">
        <color theme="4"/>
      </bottom>
      <diagonal/>
    </border>
    <border>
      <left/>
      <right/>
      <top style="mediumDashDot">
        <color theme="4"/>
      </top>
      <bottom style="mediumDashDot">
        <color theme="4"/>
      </bottom>
      <diagonal/>
    </border>
    <border>
      <left/>
      <right style="mediumDashDot">
        <color theme="4"/>
      </right>
      <top style="mediumDashDot">
        <color theme="4"/>
      </top>
      <bottom style="mediumDashDot">
        <color theme="4"/>
      </bottom>
      <diagonal/>
    </border>
    <border>
      <left style="mediumDashDot">
        <color theme="4"/>
      </left>
      <right style="thin">
        <color theme="6" tint="0.39994506668294322"/>
      </right>
      <top style="mediumDashDot">
        <color theme="4"/>
      </top>
      <bottom style="mediumDashDot">
        <color theme="4"/>
      </bottom>
      <diagonal/>
    </border>
    <border>
      <left style="thin">
        <color theme="6" tint="0.39994506668294322"/>
      </left>
      <right style="thin">
        <color theme="6" tint="0.39994506668294322"/>
      </right>
      <top style="mediumDashDot">
        <color theme="4"/>
      </top>
      <bottom style="mediumDashDot">
        <color theme="4"/>
      </bottom>
      <diagonal/>
    </border>
    <border>
      <left style="mediumDashDot">
        <color theme="4"/>
      </left>
      <right style="thin">
        <color theme="6" tint="0.39991454817346722"/>
      </right>
      <top style="mediumDashDot">
        <color theme="4"/>
      </top>
      <bottom style="thin">
        <color theme="6" tint="0.39991454817346722"/>
      </bottom>
      <diagonal/>
    </border>
    <border>
      <left style="thin">
        <color theme="6" tint="0.39991454817346722"/>
      </left>
      <right style="thin">
        <color theme="6" tint="0.39991454817346722"/>
      </right>
      <top style="mediumDashDot">
        <color theme="4"/>
      </top>
      <bottom style="thin">
        <color theme="6" tint="0.39991454817346722"/>
      </bottom>
      <diagonal/>
    </border>
    <border>
      <left style="thin">
        <color theme="6" tint="0.39991454817346722"/>
      </left>
      <right style="mediumDashDot">
        <color theme="4"/>
      </right>
      <top style="mediumDashDot">
        <color theme="4"/>
      </top>
      <bottom style="thin">
        <color theme="6" tint="0.39991454817346722"/>
      </bottom>
      <diagonal/>
    </border>
    <border>
      <left style="mediumDashDot">
        <color theme="4"/>
      </left>
      <right style="thin">
        <color theme="6" tint="0.39991454817346722"/>
      </right>
      <top style="thin">
        <color theme="6" tint="0.39991454817346722"/>
      </top>
      <bottom style="thin">
        <color theme="6" tint="0.39991454817346722"/>
      </bottom>
      <diagonal/>
    </border>
    <border>
      <left style="thin">
        <color theme="6" tint="0.39991454817346722"/>
      </left>
      <right style="mediumDashDot">
        <color theme="4"/>
      </right>
      <top style="thin">
        <color theme="6" tint="0.39991454817346722"/>
      </top>
      <bottom style="thin">
        <color theme="6" tint="0.39991454817346722"/>
      </bottom>
      <diagonal/>
    </border>
    <border>
      <left style="mediumDashDot">
        <color theme="4"/>
      </left>
      <right style="thin">
        <color theme="6" tint="0.39991454817346722"/>
      </right>
      <top style="thin">
        <color theme="6" tint="0.39991454817346722"/>
      </top>
      <bottom style="mediumDashDot">
        <color theme="4"/>
      </bottom>
      <diagonal/>
    </border>
    <border>
      <left style="thin">
        <color theme="6" tint="0.39991454817346722"/>
      </left>
      <right style="thin">
        <color theme="6" tint="0.39991454817346722"/>
      </right>
      <top style="thin">
        <color theme="6" tint="0.39991454817346722"/>
      </top>
      <bottom style="mediumDashDot">
        <color theme="4"/>
      </bottom>
      <diagonal/>
    </border>
    <border>
      <left style="thin">
        <color theme="6" tint="0.39991454817346722"/>
      </left>
      <right style="mediumDashDot">
        <color theme="4"/>
      </right>
      <top style="thin">
        <color theme="6" tint="0.39991454817346722"/>
      </top>
      <bottom style="mediumDashDot">
        <color theme="4"/>
      </bottom>
      <diagonal/>
    </border>
    <border>
      <left style="mediumDashDot">
        <color theme="4"/>
      </left>
      <right style="medium">
        <color theme="6"/>
      </right>
      <top style="mediumDashDot">
        <color theme="4"/>
      </top>
      <bottom/>
      <diagonal/>
    </border>
    <border>
      <left style="medium">
        <color theme="6"/>
      </left>
      <right style="medium">
        <color theme="6"/>
      </right>
      <top style="mediumDashDot">
        <color theme="4"/>
      </top>
      <bottom/>
      <diagonal/>
    </border>
    <border>
      <left style="medium">
        <color theme="6"/>
      </left>
      <right style="medium">
        <color theme="6"/>
      </right>
      <top style="mediumDashDot">
        <color theme="4"/>
      </top>
      <bottom style="medium">
        <color theme="6"/>
      </bottom>
      <diagonal/>
    </border>
    <border>
      <left style="medium">
        <color theme="6"/>
      </left>
      <right style="mediumDashDot">
        <color theme="4"/>
      </right>
      <top style="mediumDashDot">
        <color theme="4"/>
      </top>
      <bottom style="medium">
        <color theme="6"/>
      </bottom>
      <diagonal/>
    </border>
    <border>
      <left style="mediumDashDot">
        <color theme="4"/>
      </left>
      <right style="medium">
        <color theme="6"/>
      </right>
      <top/>
      <bottom/>
      <diagonal/>
    </border>
    <border>
      <left/>
      <right/>
      <top style="medium">
        <color theme="6"/>
      </top>
      <bottom style="mediumDashDot">
        <color theme="4"/>
      </bottom>
      <diagonal/>
    </border>
    <border>
      <left style="medium">
        <color theme="6"/>
      </left>
      <right style="medium">
        <color theme="6"/>
      </right>
      <top style="medium">
        <color theme="6"/>
      </top>
      <bottom/>
      <diagonal/>
    </border>
    <border>
      <left style="medium">
        <color theme="6"/>
      </left>
      <right style="mediumDashDot">
        <color theme="4"/>
      </right>
      <top style="medium">
        <color theme="6"/>
      </top>
      <bottom/>
      <diagonal/>
    </border>
  </borders>
  <cellStyleXfs count="2">
    <xf numFmtId="0" fontId="0" fillId="0" borderId="0"/>
    <xf numFmtId="43" fontId="5" fillId="0" borderId="0" applyFont="0" applyFill="0" applyBorder="0" applyAlignment="0" applyProtection="0"/>
  </cellStyleXfs>
  <cellXfs count="83">
    <xf numFmtId="0" fontId="0" fillId="0" borderId="0" xfId="0"/>
    <xf numFmtId="0" fontId="2" fillId="0" borderId="0" xfId="0" applyFont="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8" xfId="0" applyBorder="1" applyAlignment="1">
      <alignmen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3" xfId="0" applyFont="1" applyBorder="1" applyAlignment="1">
      <alignment horizontal="centerContinuous" vertical="center" wrapText="1"/>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0" fillId="2" borderId="15" xfId="0" applyFill="1" applyBorder="1" applyAlignment="1" applyProtection="1">
      <alignment horizontal="centerContinuous" vertical="center"/>
      <protection locked="0"/>
    </xf>
    <xf numFmtId="0" fontId="0" fillId="2"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0" fillId="0" borderId="0" xfId="0" applyAlignment="1" applyProtection="1">
      <alignment horizontal="centerContinuous" vertical="center"/>
      <protection locked="0"/>
    </xf>
    <xf numFmtId="0" fontId="0" fillId="2" borderId="21"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0" borderId="26" xfId="0" applyBorder="1" applyAlignment="1" applyProtection="1">
      <alignment horizontal="centerContinuous" vertical="center" wrapText="1"/>
      <protection locked="0"/>
    </xf>
    <xf numFmtId="0" fontId="0" fillId="0" borderId="26" xfId="0" applyBorder="1" applyAlignment="1" applyProtection="1">
      <alignment horizontal="center" vertical="center"/>
      <protection locked="0"/>
    </xf>
    <xf numFmtId="0" fontId="4" fillId="0" borderId="0" xfId="0" applyFont="1" applyAlignment="1">
      <alignment vertical="center"/>
    </xf>
    <xf numFmtId="0" fontId="9" fillId="3" borderId="13" xfId="0" applyFont="1" applyFill="1" applyBorder="1" applyAlignment="1">
      <alignment vertical="center"/>
    </xf>
    <xf numFmtId="0" fontId="0" fillId="2" borderId="14" xfId="0" applyFill="1" applyBorder="1" applyAlignment="1">
      <alignment horizontal="center" vertical="center"/>
    </xf>
    <xf numFmtId="2" fontId="0" fillId="2" borderId="13" xfId="0" applyNumberFormat="1" applyFill="1" applyBorder="1" applyAlignment="1">
      <alignment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4" fillId="0" borderId="26" xfId="0" applyFont="1" applyBorder="1" applyAlignment="1">
      <alignment vertical="center"/>
    </xf>
    <xf numFmtId="164" fontId="0" fillId="2" borderId="13" xfId="1" applyNumberFormat="1" applyFont="1" applyFill="1" applyBorder="1" applyAlignment="1" applyProtection="1">
      <alignment vertical="center"/>
    </xf>
    <xf numFmtId="164" fontId="0" fillId="0" borderId="0" xfId="1" applyNumberFormat="1" applyFont="1" applyAlignment="1" applyProtection="1">
      <alignment vertical="center"/>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0" borderId="29" xfId="0" applyBorder="1" applyAlignment="1" applyProtection="1">
      <alignment vertical="center"/>
      <protection locked="0"/>
    </xf>
    <xf numFmtId="0" fontId="0" fillId="0" borderId="32" xfId="0" applyBorder="1" applyAlignment="1" applyProtection="1">
      <alignment vertical="center" wrapText="1"/>
      <protection locked="0"/>
    </xf>
    <xf numFmtId="0" fontId="0" fillId="5" borderId="33" xfId="0"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34" xfId="0" applyBorder="1" applyAlignment="1" applyProtection="1">
      <alignment vertical="center"/>
      <protection locked="0"/>
    </xf>
    <xf numFmtId="43" fontId="0" fillId="4" borderId="35" xfId="1" applyFont="1" applyFill="1" applyBorder="1" applyAlignment="1" applyProtection="1">
      <alignment vertical="center"/>
      <protection locked="0"/>
    </xf>
    <xf numFmtId="0" fontId="0" fillId="0" borderId="36" xfId="0" applyBorder="1" applyAlignment="1" applyProtection="1">
      <alignment vertical="center"/>
      <protection locked="0"/>
    </xf>
    <xf numFmtId="0" fontId="4" fillId="2" borderId="37" xfId="0" applyFont="1" applyFill="1" applyBorder="1" applyAlignment="1" applyProtection="1">
      <alignment horizontal="centerContinuous" vertical="center"/>
      <protection locked="0"/>
    </xf>
    <xf numFmtId="0" fontId="0" fillId="2" borderId="38" xfId="0" applyFill="1" applyBorder="1" applyAlignment="1" applyProtection="1">
      <alignment horizontal="centerContinuous" vertical="center"/>
      <protection locked="0"/>
    </xf>
    <xf numFmtId="0" fontId="0" fillId="0" borderId="39" xfId="0" applyBorder="1" applyAlignment="1" applyProtection="1">
      <alignment vertical="center"/>
      <protection locked="0"/>
    </xf>
    <xf numFmtId="0" fontId="0" fillId="4" borderId="40" xfId="0" applyFill="1" applyBorder="1" applyAlignment="1" applyProtection="1">
      <alignment vertical="center"/>
      <protection locked="0"/>
    </xf>
    <xf numFmtId="0" fontId="0" fillId="0" borderId="41" xfId="0" applyBorder="1" applyAlignment="1" applyProtection="1">
      <alignment vertical="center"/>
      <protection locked="0"/>
    </xf>
    <xf numFmtId="2" fontId="0" fillId="2" borderId="27" xfId="0" applyNumberFormat="1" applyFill="1" applyBorder="1" applyAlignment="1">
      <alignment horizontal="center" vertical="center"/>
    </xf>
    <xf numFmtId="0" fontId="0" fillId="0" borderId="44" xfId="0" applyBorder="1" applyAlignment="1" applyProtection="1">
      <alignment horizontal="centerContinuous" vertical="center"/>
      <protection locked="0"/>
    </xf>
    <xf numFmtId="0" fontId="0" fillId="2" borderId="47" xfId="0" applyFill="1" applyBorder="1" applyAlignment="1">
      <alignment horizontal="center" vertical="center"/>
    </xf>
    <xf numFmtId="0" fontId="0" fillId="3" borderId="28" xfId="0" applyFill="1" applyBorder="1" applyAlignment="1" applyProtection="1">
      <alignment vertical="center"/>
      <protection locked="0"/>
    </xf>
    <xf numFmtId="43" fontId="0" fillId="4" borderId="28" xfId="1"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9" fillId="4" borderId="28" xfId="0" applyFont="1" applyFill="1" applyBorder="1" applyAlignment="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27"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26" xfId="0"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16" fillId="0" borderId="45"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30" xfId="0" applyFill="1" applyBorder="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0" borderId="4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pplyProtection="1">
      <alignment horizontal="left" vertical="top" wrapText="1" indent="1"/>
      <protection locked="0"/>
    </xf>
  </cellXfs>
  <cellStyles count="2">
    <cellStyle name="Comma" xfId="1" builtinId="3"/>
    <cellStyle name="Normal" xfId="0" builtinId="0"/>
  </cellStyles>
  <dxfs count="44">
    <dxf>
      <fill>
        <patternFill>
          <bgColor rgb="FF00B050"/>
        </patternFill>
      </fill>
    </dxf>
    <dxf>
      <fill>
        <patternFill>
          <bgColor rgb="FFFF0000"/>
        </patternFill>
      </fill>
    </dxf>
    <dxf>
      <fill>
        <patternFill>
          <bgColor rgb="FF00B050"/>
        </patternFill>
      </fill>
    </dxf>
    <dxf>
      <fill>
        <patternFill>
          <bgColor theme="1" tint="0.34998626667073579"/>
        </patternFill>
      </fill>
    </dxf>
    <dxf>
      <fill>
        <patternFill>
          <bgColor rgb="FFFF0000"/>
        </patternFill>
      </fill>
    </dxf>
    <dxf>
      <fill>
        <patternFill>
          <bgColor rgb="FFFF0000"/>
        </patternFill>
      </fill>
    </dxf>
    <dxf>
      <fill>
        <patternFill>
          <bgColor theme="1" tint="0.34998626667073579"/>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2" tint="-0.499984740745262"/>
        </patternFill>
      </fill>
    </dxf>
    <dxf>
      <fill>
        <patternFill>
          <bgColor rgb="FFFF0000"/>
        </patternFill>
      </fill>
    </dxf>
    <dxf>
      <fill>
        <patternFill>
          <bgColor rgb="FF00B050"/>
        </patternFill>
      </fill>
    </dxf>
    <dxf>
      <fill>
        <patternFill>
          <bgColor rgb="FFFF0000"/>
        </patternFill>
      </fill>
    </dxf>
    <dxf>
      <fill>
        <patternFill>
          <bgColor rgb="FF00B050"/>
        </patternFill>
      </fill>
    </dxf>
    <dxf>
      <font>
        <strike/>
      </font>
      <fill>
        <patternFill>
          <bgColor theme="0" tint="-0.499984740745262"/>
        </patternFill>
      </fill>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rgb="FFFFC000"/>
        </patternFill>
      </fill>
      <border>
        <left style="thin">
          <color theme="4"/>
        </left>
        <right style="thin">
          <color theme="4"/>
        </right>
        <top style="thin">
          <color theme="4"/>
        </top>
        <bottom style="thin">
          <color theme="4"/>
        </bottom>
        <vertical/>
        <horizontal/>
      </border>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ill>
        <patternFill>
          <bgColor rgb="FFFF0000"/>
        </patternFill>
      </fill>
    </dxf>
    <dxf>
      <fill>
        <patternFill>
          <bgColor rgb="FF00B050"/>
        </patternFill>
      </fill>
    </dxf>
    <dxf>
      <fill>
        <patternFill>
          <bgColor theme="6" tint="0.79998168889431442"/>
        </patternFill>
      </fill>
    </dxf>
    <dxf>
      <fill>
        <patternFill>
          <bgColor rgb="FFFF0000"/>
        </patternFill>
      </fill>
    </dxf>
    <dxf>
      <fill>
        <patternFill>
          <bgColor theme="7"/>
        </patternFill>
      </fill>
    </dxf>
    <dxf>
      <fill>
        <patternFill>
          <bgColor rgb="FF00B05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8FFC-6804-452B-828B-C355E51333BD}">
  <dimension ref="A1:S41"/>
  <sheetViews>
    <sheetView tabSelected="1" view="pageLayout" topLeftCell="A25" zoomScaleNormal="100" workbookViewId="0">
      <selection activeCell="K42" sqref="K42"/>
    </sheetView>
  </sheetViews>
  <sheetFormatPr defaultColWidth="8.88671875" defaultRowHeight="14.4" x14ac:dyDescent="0.3"/>
  <cols>
    <col min="1" max="1" width="3.33203125" style="18" customWidth="1"/>
    <col min="2" max="2" width="23.88671875" style="18" bestFit="1" customWidth="1"/>
    <col min="3" max="3" width="10.21875" style="18" bestFit="1" customWidth="1"/>
    <col min="4" max="4" width="10.77734375" style="18" bestFit="1" customWidth="1"/>
    <col min="5" max="5" width="8.109375" style="18" customWidth="1"/>
    <col min="6" max="6" width="8.88671875" style="18"/>
    <col min="7" max="7" width="9.33203125" style="18" bestFit="1" customWidth="1"/>
    <col min="8" max="10" width="5" style="19" customWidth="1"/>
    <col min="11" max="11" width="15.33203125" style="18" customWidth="1"/>
    <col min="12" max="12" width="14.109375" style="18" bestFit="1" customWidth="1"/>
    <col min="13" max="13" width="16.21875" style="18" bestFit="1" customWidth="1"/>
    <col min="14" max="14" width="16.109375" style="18" customWidth="1"/>
    <col min="15" max="15" width="17.109375" style="18" customWidth="1"/>
    <col min="16" max="16" width="6.6640625" style="18" customWidth="1"/>
    <col min="17" max="18" width="6.109375" style="18" customWidth="1"/>
    <col min="19" max="19" width="8.44140625" style="18" bestFit="1" customWidth="1"/>
    <col min="20" max="16384" width="8.88671875" style="18"/>
  </cols>
  <sheetData>
    <row r="1" spans="1:19" ht="15" customHeight="1" thickBot="1" x14ac:dyDescent="0.35">
      <c r="B1" s="41" t="s">
        <v>11</v>
      </c>
      <c r="C1" s="78" t="s">
        <v>76</v>
      </c>
      <c r="D1" s="79"/>
      <c r="F1" s="30" t="str" cm="1">
        <f t="array" ref="F1">_xlfn.IFNA(_xlfn.IFS(C5&gt;C3,"FAIL",C37&gt;C36,"FAIL",C41&gt;(C33+C34+C36),"FAIL",COUNTIF(S22:S31,"FAIL")&gt;0,"FAIL",COUNTIF(M22:M31,"Outdoor Sales Lot")+COUNTIF(M22:M31,"Outdoor Dining")&gt;COUNTA(N22:N31),"FAIL",COUNTA(C9:C11)=2,"FAIL",C11&gt;10,"FAIL",C7&gt;3000,"FAIL",C5="","FAIL",G22="","FAIL",J22="","FAIL",K22="","FAIL",L22="","FAIL"),"PASS")</f>
        <v>PASS</v>
      </c>
      <c r="H1" s="68" t="s">
        <v>99</v>
      </c>
      <c r="I1" s="68"/>
      <c r="J1" s="68"/>
      <c r="K1" s="68"/>
      <c r="L1" s="68"/>
      <c r="M1" s="68"/>
      <c r="N1" s="68"/>
      <c r="O1" s="68"/>
      <c r="P1" s="68"/>
      <c r="Q1" s="68"/>
      <c r="R1" s="68"/>
      <c r="S1" s="68"/>
    </row>
    <row r="2" spans="1:19" ht="14.4" customHeight="1" x14ac:dyDescent="0.3">
      <c r="A2" s="19" t="s">
        <v>92</v>
      </c>
      <c r="B2" s="20" t="s">
        <v>12</v>
      </c>
      <c r="C2" s="32" t="str">
        <f>VLOOKUP(C1,'Ref - Zone Districts'!B3:D28,2,FALSE)</f>
        <v>LC2</v>
      </c>
      <c r="F2" s="18" t="s">
        <v>111</v>
      </c>
      <c r="G2" s="62"/>
      <c r="H2" s="68"/>
      <c r="I2" s="68"/>
      <c r="J2" s="68"/>
      <c r="K2" s="68"/>
      <c r="L2" s="68"/>
      <c r="M2" s="68"/>
      <c r="N2" s="68"/>
      <c r="O2" s="68"/>
      <c r="P2" s="68"/>
      <c r="Q2" s="68"/>
      <c r="R2" s="68"/>
      <c r="S2" s="68"/>
    </row>
    <row r="3" spans="1:19" x14ac:dyDescent="0.3">
      <c r="A3" s="19" t="s">
        <v>93</v>
      </c>
      <c r="B3" s="21" t="s">
        <v>13</v>
      </c>
      <c r="C3" s="33">
        <f>VLOOKUP(C2,'Ref - Lighting Context Area'!B3:C7,2,FALSE)</f>
        <v>0.3</v>
      </c>
      <c r="D3" s="18" t="s">
        <v>49</v>
      </c>
      <c r="F3" s="82" t="str" cm="1">
        <f t="array" ref="F3">_xlfn.IFNA(_xlfn.IFS(C5&gt;C3,"Light trespass exceeds maximum",C37&gt;C36,"Base lumens exceed limit",C41&gt;(C33+C34+C36),"Total lumens exceed limit",COUNTIF(S22:S31,"FAIL")&gt;0,"A luminaire is failing",COUNTIF(M22:M31,"Outdoor Sales Lot")+COUNTIF(M22:M31,"Outdoor Dining")&gt;COUNTA(N22:N31),"The distance from application boundary is required",COUNTA(C9:C11)=2,"Select hardscape method or parking spaces method",C11&gt;10,"Parking spaces method is only allowed for lots under 10 spaces",C7&gt;3000,"Maximum CCT is exceeded",C5="","Missing light trespass entry",G22="","Missing mounting height",J22="","Missing complete BUG rating",K22="","Missing distance from property line",L22="","Missing aiming information"),"")</f>
        <v/>
      </c>
      <c r="G3" s="82"/>
      <c r="H3" s="68"/>
      <c r="I3" s="68"/>
      <c r="J3" s="68"/>
      <c r="K3" s="68"/>
      <c r="L3" s="68"/>
      <c r="M3" s="68"/>
      <c r="N3" s="68"/>
      <c r="O3" s="68"/>
      <c r="P3" s="68"/>
      <c r="Q3" s="68"/>
      <c r="R3" s="68"/>
      <c r="S3" s="68"/>
    </row>
    <row r="4" spans="1:19" ht="18" customHeight="1" thickBot="1" x14ac:dyDescent="0.35">
      <c r="A4" s="19"/>
      <c r="F4" s="82"/>
      <c r="G4" s="82"/>
      <c r="H4" s="68"/>
      <c r="I4" s="68"/>
      <c r="J4" s="68"/>
      <c r="K4" s="68"/>
      <c r="L4" s="68"/>
      <c r="M4" s="68"/>
      <c r="N4" s="68"/>
      <c r="O4" s="68"/>
      <c r="P4" s="68"/>
      <c r="Q4" s="68"/>
      <c r="R4" s="68"/>
      <c r="S4" s="68"/>
    </row>
    <row r="5" spans="1:19" ht="29.4" thickBot="1" x14ac:dyDescent="0.35">
      <c r="A5" s="19"/>
      <c r="B5" s="42" t="s">
        <v>40</v>
      </c>
      <c r="C5" s="43">
        <v>0.3</v>
      </c>
      <c r="D5" s="44" t="s">
        <v>49</v>
      </c>
      <c r="F5" s="82"/>
      <c r="G5" s="82"/>
      <c r="H5" s="68"/>
      <c r="I5" s="68"/>
      <c r="J5" s="68"/>
      <c r="K5" s="68"/>
      <c r="L5" s="68"/>
      <c r="M5" s="68"/>
      <c r="N5" s="68"/>
      <c r="O5" s="68"/>
      <c r="P5" s="68"/>
      <c r="Q5" s="68"/>
      <c r="R5" s="68"/>
      <c r="S5" s="68"/>
    </row>
    <row r="6" spans="1:19" ht="18" customHeight="1" x14ac:dyDescent="0.3">
      <c r="A6" s="19"/>
      <c r="H6" s="68"/>
      <c r="I6" s="68"/>
      <c r="J6" s="68"/>
      <c r="K6" s="68"/>
      <c r="L6" s="68"/>
      <c r="M6" s="68"/>
      <c r="N6" s="68"/>
      <c r="O6" s="68"/>
      <c r="P6" s="68"/>
      <c r="Q6" s="68"/>
      <c r="R6" s="68"/>
      <c r="S6" s="68"/>
    </row>
    <row r="7" spans="1:19" x14ac:dyDescent="0.3">
      <c r="A7" s="19"/>
      <c r="B7" s="21" t="s">
        <v>14</v>
      </c>
      <c r="C7" s="31">
        <f>IF(MAX(F22:F31)&lt;&gt;0,MAX(F22:F31),"")</f>
        <v>3000</v>
      </c>
      <c r="D7" s="18" t="s">
        <v>16</v>
      </c>
      <c r="H7" s="68"/>
      <c r="I7" s="68"/>
      <c r="J7" s="68"/>
      <c r="K7" s="68"/>
      <c r="L7" s="68"/>
      <c r="M7" s="68"/>
      <c r="N7" s="68"/>
      <c r="O7" s="68"/>
      <c r="P7" s="68"/>
      <c r="Q7" s="68"/>
      <c r="R7" s="68"/>
      <c r="S7" s="68"/>
    </row>
    <row r="8" spans="1:19" ht="18" customHeight="1" thickBot="1" x14ac:dyDescent="0.35">
      <c r="A8" s="19"/>
      <c r="H8" s="68"/>
      <c r="I8" s="68"/>
      <c r="J8" s="68"/>
      <c r="K8" s="68"/>
      <c r="L8" s="68"/>
      <c r="M8" s="68"/>
      <c r="N8" s="68"/>
      <c r="O8" s="68"/>
      <c r="P8" s="68"/>
      <c r="Q8" s="68"/>
      <c r="R8" s="68"/>
      <c r="S8" s="68"/>
    </row>
    <row r="9" spans="1:19" x14ac:dyDescent="0.3">
      <c r="A9" s="19" t="s">
        <v>94</v>
      </c>
      <c r="B9" s="45" t="s">
        <v>25</v>
      </c>
      <c r="C9" s="46">
        <v>10000</v>
      </c>
      <c r="D9" s="47" t="s">
        <v>39</v>
      </c>
      <c r="H9" s="68"/>
      <c r="I9" s="68"/>
      <c r="J9" s="68"/>
      <c r="K9" s="68"/>
      <c r="L9" s="68"/>
      <c r="M9" s="68"/>
      <c r="N9" s="68"/>
      <c r="O9" s="68"/>
      <c r="P9" s="68"/>
      <c r="Q9" s="68"/>
      <c r="R9" s="68"/>
      <c r="S9" s="68"/>
    </row>
    <row r="10" spans="1:19" x14ac:dyDescent="0.3">
      <c r="A10" s="19"/>
      <c r="B10" s="48" t="s">
        <v>83</v>
      </c>
      <c r="C10" s="22"/>
      <c r="D10" s="49"/>
      <c r="F10" s="61"/>
      <c r="H10" s="68"/>
      <c r="I10" s="68"/>
      <c r="J10" s="68"/>
      <c r="K10" s="68"/>
      <c r="L10" s="68"/>
      <c r="M10" s="68"/>
      <c r="N10" s="68"/>
      <c r="O10" s="68"/>
      <c r="P10" s="68"/>
      <c r="Q10" s="68"/>
      <c r="R10" s="68"/>
      <c r="S10" s="68"/>
    </row>
    <row r="11" spans="1:19" ht="15" thickBot="1" x14ac:dyDescent="0.35">
      <c r="A11" s="19" t="s">
        <v>95</v>
      </c>
      <c r="B11" s="50" t="s">
        <v>81</v>
      </c>
      <c r="C11" s="51"/>
      <c r="D11" s="52" t="s">
        <v>82</v>
      </c>
      <c r="H11" s="68"/>
      <c r="I11" s="68"/>
      <c r="J11" s="68"/>
      <c r="K11" s="68"/>
      <c r="L11" s="68"/>
      <c r="M11" s="68"/>
      <c r="N11" s="68"/>
      <c r="O11" s="68"/>
      <c r="P11" s="68"/>
      <c r="Q11" s="68"/>
      <c r="R11" s="68"/>
      <c r="S11" s="68"/>
    </row>
    <row r="12" spans="1:19" ht="18" customHeight="1" x14ac:dyDescent="0.3">
      <c r="A12" s="19"/>
      <c r="H12" s="68"/>
      <c r="I12" s="68"/>
      <c r="J12" s="68"/>
      <c r="K12" s="68"/>
      <c r="L12" s="68"/>
      <c r="M12" s="68"/>
      <c r="N12" s="68"/>
      <c r="O12" s="68"/>
      <c r="P12" s="68"/>
      <c r="Q12" s="68"/>
      <c r="R12" s="68"/>
      <c r="S12" s="68"/>
    </row>
    <row r="13" spans="1:19" x14ac:dyDescent="0.3">
      <c r="A13" s="19" t="s">
        <v>96</v>
      </c>
      <c r="B13" s="18" t="s">
        <v>85</v>
      </c>
      <c r="H13" s="68"/>
      <c r="I13" s="68"/>
      <c r="J13" s="68"/>
      <c r="K13" s="68"/>
      <c r="L13" s="68"/>
      <c r="M13" s="68"/>
      <c r="N13" s="68"/>
      <c r="O13" s="68"/>
      <c r="P13" s="68"/>
      <c r="Q13" s="68"/>
      <c r="R13" s="68"/>
      <c r="S13" s="68"/>
    </row>
    <row r="14" spans="1:19" x14ac:dyDescent="0.3">
      <c r="A14" s="19"/>
      <c r="B14" s="21" t="s">
        <v>86</v>
      </c>
      <c r="C14" s="76"/>
      <c r="D14" s="77"/>
      <c r="H14" s="68"/>
      <c r="I14" s="68"/>
      <c r="J14" s="68"/>
      <c r="K14" s="68"/>
      <c r="L14" s="68"/>
      <c r="M14" s="68"/>
      <c r="N14" s="68"/>
      <c r="O14" s="68"/>
      <c r="P14" s="68"/>
      <c r="Q14" s="68"/>
      <c r="R14" s="68"/>
      <c r="S14" s="68"/>
    </row>
    <row r="15" spans="1:19" x14ac:dyDescent="0.3">
      <c r="A15" s="19"/>
      <c r="B15" s="21" t="s">
        <v>87</v>
      </c>
      <c r="C15" s="76"/>
      <c r="D15" s="77"/>
      <c r="H15" s="68"/>
      <c r="I15" s="68"/>
      <c r="J15" s="68"/>
      <c r="K15" s="68"/>
      <c r="L15" s="68"/>
      <c r="M15" s="68"/>
      <c r="N15" s="68"/>
      <c r="O15" s="68"/>
      <c r="P15" s="68"/>
      <c r="Q15" s="68"/>
      <c r="R15" s="68"/>
      <c r="S15" s="68"/>
    </row>
    <row r="16" spans="1:19" ht="15" thickBot="1" x14ac:dyDescent="0.35">
      <c r="A16" s="19"/>
      <c r="H16" s="68"/>
      <c r="I16" s="68"/>
      <c r="J16" s="68"/>
      <c r="K16" s="68"/>
      <c r="L16" s="68"/>
      <c r="M16" s="68"/>
      <c r="N16" s="68"/>
      <c r="O16" s="68"/>
      <c r="P16" s="68"/>
      <c r="Q16" s="68"/>
      <c r="R16" s="68"/>
      <c r="S16" s="68"/>
    </row>
    <row r="17" spans="1:19" x14ac:dyDescent="0.3">
      <c r="A17" s="19"/>
      <c r="B17" s="23" t="str">
        <f>IF(C14=0,"",C14)</f>
        <v/>
      </c>
      <c r="C17" s="24"/>
      <c r="D17" s="39" t="str">
        <f>_xlfn.IFNA(VLOOKUP(B17,'Ref - Lighting Context Area'!$B$18:$G$22,2,FALSE),"")</f>
        <v/>
      </c>
      <c r="E17" s="25"/>
      <c r="F17" s="25"/>
      <c r="H17" s="68"/>
      <c r="I17" s="68"/>
      <c r="J17" s="68"/>
      <c r="K17" s="68"/>
      <c r="L17" s="68"/>
      <c r="M17" s="68"/>
      <c r="N17" s="68"/>
      <c r="O17" s="68"/>
      <c r="P17" s="68"/>
      <c r="Q17" s="68"/>
      <c r="R17" s="68"/>
      <c r="S17" s="68"/>
    </row>
    <row r="18" spans="1:19" ht="15" thickBot="1" x14ac:dyDescent="0.35">
      <c r="A18" s="19"/>
      <c r="B18" s="26" t="str">
        <f>IF(C15="","",IF(C14=C15,"ERROR",C15))</f>
        <v/>
      </c>
      <c r="C18" s="27"/>
      <c r="D18" s="40" t="str">
        <f>_xlfn.IFNA(VLOOKUP(B18,'Ref - Lighting Context Area'!$B$18:$G$22,2,FALSE),"")</f>
        <v/>
      </c>
      <c r="E18" s="25"/>
      <c r="F18" s="25"/>
      <c r="H18" s="68"/>
      <c r="I18" s="68"/>
      <c r="J18" s="68"/>
      <c r="K18" s="68"/>
      <c r="L18" s="68"/>
      <c r="M18" s="68"/>
      <c r="N18" s="68"/>
      <c r="O18" s="68"/>
      <c r="P18" s="68"/>
      <c r="Q18" s="68"/>
      <c r="R18" s="68"/>
      <c r="S18" s="68"/>
    </row>
    <row r="19" spans="1:19" ht="18" customHeight="1" thickBot="1" x14ac:dyDescent="0.35">
      <c r="A19" s="19"/>
    </row>
    <row r="20" spans="1:19" ht="27" customHeight="1" thickBot="1" x14ac:dyDescent="0.35">
      <c r="A20" s="19" t="s">
        <v>97</v>
      </c>
      <c r="B20" s="71" t="s">
        <v>26</v>
      </c>
      <c r="C20" s="73" t="s">
        <v>27</v>
      </c>
      <c r="D20" s="73" t="s">
        <v>28</v>
      </c>
      <c r="E20" s="75" t="s">
        <v>46</v>
      </c>
      <c r="F20" s="64" t="s">
        <v>84</v>
      </c>
      <c r="G20" s="64" t="s">
        <v>100</v>
      </c>
      <c r="H20" s="54" t="s">
        <v>48</v>
      </c>
      <c r="I20" s="54"/>
      <c r="J20" s="54"/>
      <c r="K20" s="64" t="s">
        <v>47</v>
      </c>
      <c r="L20" s="64" t="s">
        <v>36</v>
      </c>
      <c r="M20" s="80" t="s">
        <v>37</v>
      </c>
      <c r="N20" s="69" t="s">
        <v>106</v>
      </c>
      <c r="O20" s="63" t="s">
        <v>58</v>
      </c>
      <c r="P20" s="28" t="s">
        <v>45</v>
      </c>
      <c r="Q20" s="28"/>
      <c r="R20" s="28"/>
      <c r="S20" s="67" t="s">
        <v>91</v>
      </c>
    </row>
    <row r="21" spans="1:19" ht="23.4" customHeight="1" thickBot="1" x14ac:dyDescent="0.35">
      <c r="A21" s="19" t="s">
        <v>98</v>
      </c>
      <c r="B21" s="72"/>
      <c r="C21" s="74"/>
      <c r="D21" s="74"/>
      <c r="E21" s="67"/>
      <c r="F21" s="65"/>
      <c r="G21" s="65"/>
      <c r="H21" s="59" t="s">
        <v>19</v>
      </c>
      <c r="I21" s="59" t="s">
        <v>20</v>
      </c>
      <c r="J21" s="59" t="s">
        <v>21</v>
      </c>
      <c r="K21" s="65"/>
      <c r="L21" s="65"/>
      <c r="M21" s="81"/>
      <c r="N21" s="70"/>
      <c r="O21" s="63"/>
      <c r="P21" s="29" t="s">
        <v>19</v>
      </c>
      <c r="Q21" s="29" t="s">
        <v>20</v>
      </c>
      <c r="R21" s="29" t="s">
        <v>21</v>
      </c>
      <c r="S21" s="67"/>
    </row>
    <row r="22" spans="1:19" ht="15" thickBot="1" x14ac:dyDescent="0.35">
      <c r="B22" s="56" t="s">
        <v>107</v>
      </c>
      <c r="C22" s="57">
        <v>7300</v>
      </c>
      <c r="D22" s="58">
        <v>1</v>
      </c>
      <c r="E22" s="34">
        <f t="shared" ref="E22:E27" si="0">IF(C22*D22=0,"",C22*D22)</f>
        <v>7300</v>
      </c>
      <c r="F22" s="60">
        <v>3000</v>
      </c>
      <c r="G22" s="58">
        <v>30</v>
      </c>
      <c r="H22" s="58">
        <v>3</v>
      </c>
      <c r="I22" s="58">
        <v>0</v>
      </c>
      <c r="J22" s="58">
        <v>1</v>
      </c>
      <c r="K22" s="58">
        <v>77</v>
      </c>
      <c r="L22" s="58" t="s">
        <v>110</v>
      </c>
      <c r="M22" s="58"/>
      <c r="N22" s="58"/>
      <c r="O22" s="53">
        <f t="shared" ref="O22:O31" si="1">IFERROR(K22/G22,"")</f>
        <v>2.5666666666666669</v>
      </c>
      <c r="P22" s="35" cm="1">
        <f t="array" ref="P22">IF(G22="","",VLOOKUP($C$2,'Ref - Lighting Context Area'!$B$11:$M$16,1+_xlfn.IFS(L22="YES",5,$O22&lt;0.5,1,$O22&lt;1,2,$O22&lt;2,3,$O22&gt;=2,4),FALSE))</f>
        <v>4</v>
      </c>
      <c r="Q22" s="35">
        <f>IF(G22="","",VLOOKUP($C$2,'Ref - Lighting Context Area'!$B$11:$M$16,7,FALSE))</f>
        <v>1</v>
      </c>
      <c r="R22" s="35" cm="1">
        <f t="array" ref="R22">IF(G22="","",VLOOKUP($C$2,'Ref - Lighting Context Area'!$B$11:$M$16,7+_xlfn.IFS($O22&gt;2,4,$L22="NO",5,$O22&lt;0.5,1,$O22&lt;1,2,$O22&lt;=2,3),FALSE))</f>
        <v>1</v>
      </c>
      <c r="S22" s="36" t="str" cm="1">
        <f t="array" ref="S22">IF(C22=0,"",_xlfn.IFNA(_xlfn.IFS(F22="","FAIL",G22="","FAIL",H22="","FAIL",I22="","FAIL",J22="","FAIL",K22="","FAIL",L22="","FAIL",H22&gt;P22,"FAIL",I22&gt;Q22,"FAIL",J22&gt;R22,"FAIL",F22&gt;3000,"FAIL",N22/G22&gt;0.5,"FAIL",COUNTIF(M22,"Outdoor Sales Lot")+COUNTIF(M22,"Outdoor Dining")&gt;COUNTA(N22),"FAIL",M22=$C$14,"PASS",M22=$C$15,"PASS",M22="BASE","PASS",M22="","PASS",M22&lt;&gt;$C$14,"FAIL",M22&lt;&gt;$C$15,"FAIL"),"PASS"))</f>
        <v>PASS</v>
      </c>
    </row>
    <row r="23" spans="1:19" ht="15" thickBot="1" x14ac:dyDescent="0.35">
      <c r="B23" s="56" t="s">
        <v>109</v>
      </c>
      <c r="C23" s="57">
        <v>9400</v>
      </c>
      <c r="D23" s="58">
        <v>0</v>
      </c>
      <c r="E23" s="34" t="str">
        <f t="shared" si="0"/>
        <v/>
      </c>
      <c r="F23" s="60">
        <v>3000</v>
      </c>
      <c r="G23" s="58">
        <v>30</v>
      </c>
      <c r="H23" s="58">
        <v>3</v>
      </c>
      <c r="I23" s="58">
        <v>0</v>
      </c>
      <c r="J23" s="58">
        <v>1</v>
      </c>
      <c r="K23" s="58">
        <v>77</v>
      </c>
      <c r="L23" s="58" t="s">
        <v>43</v>
      </c>
      <c r="M23" s="58"/>
      <c r="N23" s="58"/>
      <c r="O23" s="53">
        <f t="shared" si="1"/>
        <v>2.5666666666666669</v>
      </c>
      <c r="P23" s="35" cm="1">
        <f t="array" ref="P23">IF(H23="","",VLOOKUP($C$2,'Ref - Lighting Context Area'!$B$11:$M$16,1+_xlfn.IFS(L23="YES",5,$O23&lt;0.5,1,$O23&lt;1,2,$O23&lt;2,3,$O23&gt;=2,4),FALSE))</f>
        <v>4</v>
      </c>
      <c r="Q23" s="35">
        <f>IF(I23="","",VLOOKUP($C$2,'Ref - Lighting Context Area'!$B$11:$M$16,7,FALSE))</f>
        <v>1</v>
      </c>
      <c r="R23" s="35" cm="1">
        <f t="array" ref="R23">IF(J23="","",VLOOKUP($C$2,'Ref - Lighting Context Area'!$B$11:$M$16,7+_xlfn.IFS($O23&gt;2,4,$L23="NO",5,$O23&lt;0.5,1,$O23&lt;1,2,$O23&lt;=2,3),FALSE))</f>
        <v>1</v>
      </c>
      <c r="S23" s="36" t="str" cm="1">
        <f t="array" ref="S23">IF(C23=0,"",_xlfn.IFNA(_xlfn.IFS(F23="","FAIL",G23="","FAIL",H23="","FAIL",I23="","FAIL",J23="","FAIL",K23="","FAIL",L23="","FAIL",H23&gt;P23,"FAIL",I23&gt;Q23,"FAIL",J23&gt;R23,"FAIL",F23&gt;3000,"FAIL",N23/G23&gt;0.5,"FAIL",COUNTIF(M23,"Outdoor Sales Lot")+COUNTIF(M23,"Outdoor Dining")&gt;COUNTA(N23),"FAIL",M23=$C$14,"PASS",M23=$C$15,"PASS",M23="BASE","PASS",M23="","PASS",M23&lt;&gt;$C$14,"FAIL",M23&lt;&gt;$C$15,"FAIL"),"PASS"))</f>
        <v>PASS</v>
      </c>
    </row>
    <row r="24" spans="1:19" ht="15" thickBot="1" x14ac:dyDescent="0.35">
      <c r="B24" s="56" t="s">
        <v>108</v>
      </c>
      <c r="C24" s="57">
        <v>7300</v>
      </c>
      <c r="D24" s="58">
        <v>0</v>
      </c>
      <c r="E24" s="34" t="str">
        <f t="shared" si="0"/>
        <v/>
      </c>
      <c r="F24" s="60">
        <v>3000</v>
      </c>
      <c r="G24" s="58">
        <v>30</v>
      </c>
      <c r="H24" s="58">
        <v>2</v>
      </c>
      <c r="I24" s="58">
        <v>0</v>
      </c>
      <c r="J24" s="58">
        <v>1</v>
      </c>
      <c r="K24" s="58">
        <v>31</v>
      </c>
      <c r="L24" s="58" t="s">
        <v>43</v>
      </c>
      <c r="M24" s="58"/>
      <c r="N24" s="58"/>
      <c r="O24" s="53">
        <f t="shared" si="1"/>
        <v>1.0333333333333334</v>
      </c>
      <c r="P24" s="35" cm="1">
        <f t="array" ref="P24">IF(H24="","",VLOOKUP($C$2,'Ref - Lighting Context Area'!$B$11:$M$16,1+_xlfn.IFS(L24="YES",5,$O24&lt;0.5,1,$O24&lt;1,2,$O24&lt;2,3,$O24&gt;=2,4),FALSE))</f>
        <v>3</v>
      </c>
      <c r="Q24" s="35">
        <f>IF(I24="","",VLOOKUP($C$2,'Ref - Lighting Context Area'!$B$11:$M$16,7,FALSE))</f>
        <v>1</v>
      </c>
      <c r="R24" s="35" cm="1">
        <f t="array" ref="R24">IF(J24="","",VLOOKUP($C$2,'Ref - Lighting Context Area'!$B$11:$M$16,7+_xlfn.IFS($O24&gt;2,4,$L24="NO",5,$O24&lt;0.5,1,$O24&lt;1,2,$O24&lt;=2,3),FALSE))</f>
        <v>1</v>
      </c>
      <c r="S24" s="36" t="str" cm="1">
        <f t="array" ref="S24">IF(C24=0,"",_xlfn.IFNA(_xlfn.IFS(F24="","FAIL",G24="","FAIL",H24="","FAIL",I24="","FAIL",J24="","FAIL",K24="","FAIL",L24="","FAIL",H24&gt;P24,"FAIL",I24&gt;Q24,"FAIL",J24&gt;R24,"FAIL",F24&gt;3000,"FAIL",N24/G24&gt;0.5,"FAIL",COUNTIF(M24,"Outdoor Sales Lot")+COUNTIF(M24,"Outdoor Dining")&gt;COUNTA(N24),"FAIL",M24=$C$14,"PASS",M24=$C$15,"PASS",M24="BASE","PASS",M24="","PASS",M24&lt;&gt;$C$14,"FAIL",M24&lt;&gt;$C$15,"FAIL"),"PASS"))</f>
        <v>PASS</v>
      </c>
    </row>
    <row r="25" spans="1:19" ht="15" thickBot="1" x14ac:dyDescent="0.35">
      <c r="B25" s="56" t="s">
        <v>29</v>
      </c>
      <c r="C25" s="57"/>
      <c r="D25" s="58"/>
      <c r="E25" s="34" t="str">
        <f t="shared" si="0"/>
        <v/>
      </c>
      <c r="F25" s="60"/>
      <c r="G25" s="58"/>
      <c r="H25" s="58"/>
      <c r="I25" s="58"/>
      <c r="J25" s="58"/>
      <c r="K25" s="58"/>
      <c r="L25" s="58"/>
      <c r="M25" s="58"/>
      <c r="N25" s="58"/>
      <c r="O25" s="53" t="str">
        <f t="shared" si="1"/>
        <v/>
      </c>
      <c r="P25" s="35" t="str" cm="1">
        <f t="array" ref="P25">IF(H25="","",VLOOKUP($C$2,'Ref - Lighting Context Area'!$B$11:$M$16,1+_xlfn.IFS(L25="YES",5,$O25&lt;0.5,1,$O25&lt;1,2,$O25&lt;2,3,$O25&gt;=2,4),FALSE))</f>
        <v/>
      </c>
      <c r="Q25" s="35" t="str">
        <f>IF(I25="","",VLOOKUP($C$2,'Ref - Lighting Context Area'!$B$11:$M$16,7,FALSE))</f>
        <v/>
      </c>
      <c r="R25" s="35" t="str" cm="1">
        <f t="array" ref="R25">IF(J25="","",VLOOKUP($C$2,'Ref - Lighting Context Area'!$B$11:$M$16,7+_xlfn.IFS($O25&gt;2,4,$L25="NO",5,$O25&lt;0.5,1,$O25&lt;1,2,$O25&lt;=2,3),FALSE))</f>
        <v/>
      </c>
      <c r="S25" s="36" t="str" cm="1">
        <f t="array" ref="S25">IF(C25=0,"",_xlfn.IFNA(_xlfn.IFS(F25="","FAIL",G25="","FAIL",H25="","FAIL",I25="","FAIL",J25="","FAIL",K25="","FAIL",L25="","FAIL",H25&gt;P25,"FAIL",I25&gt;Q25,"FAIL",J25&gt;R25,"FAIL",F25&gt;3000,"FAIL",N25/G25&gt;0.5,"FAIL",COUNTIF(M25,"Outdoor Sales Lot")+COUNTIF(M25,"Outdoor Dining")&gt;COUNTA(N25),"FAIL",M25=$C$14,"PASS",M25=$C$15,"PASS",M25="BASE","PASS",M25="","PASS",M25&lt;&gt;$C$14,"FAIL",M25&lt;&gt;$C$15,"FAIL"),"PASS"))</f>
        <v/>
      </c>
    </row>
    <row r="26" spans="1:19" ht="15" thickBot="1" x14ac:dyDescent="0.35">
      <c r="B26" s="56" t="s">
        <v>30</v>
      </c>
      <c r="C26" s="57"/>
      <c r="D26" s="58"/>
      <c r="E26" s="34" t="str">
        <f t="shared" si="0"/>
        <v/>
      </c>
      <c r="F26" s="60"/>
      <c r="G26" s="58"/>
      <c r="H26" s="58"/>
      <c r="I26" s="58"/>
      <c r="J26" s="58"/>
      <c r="K26" s="58"/>
      <c r="L26" s="58"/>
      <c r="M26" s="58"/>
      <c r="N26" s="58"/>
      <c r="O26" s="53" t="str">
        <f t="shared" si="1"/>
        <v/>
      </c>
      <c r="P26" s="35" t="str" cm="1">
        <f t="array" ref="P26">IF(H26="","",VLOOKUP($C$2,'Ref - Lighting Context Area'!$B$11:$M$16,1+_xlfn.IFS(L26="YES",5,$O26&lt;0.5,1,$O26&lt;1,2,$O26&lt;2,3,$O26&gt;=2,4),FALSE))</f>
        <v/>
      </c>
      <c r="Q26" s="35" t="str">
        <f>IF(I26="","",VLOOKUP($C$2,'Ref - Lighting Context Area'!$B$11:$M$16,7,FALSE))</f>
        <v/>
      </c>
      <c r="R26" s="35" t="str" cm="1">
        <f t="array" ref="R26">IF(J26="","",VLOOKUP($C$2,'Ref - Lighting Context Area'!$B$11:$M$16,7+_xlfn.IFS($O26&gt;2,4,$L26="NO",5,$O26&lt;0.5,1,$O26&lt;1,2,$O26&lt;=2,3),FALSE))</f>
        <v/>
      </c>
      <c r="S26" s="36" t="str" cm="1">
        <f t="array" ref="S26">IF(C26=0,"",_xlfn.IFNA(_xlfn.IFS(F26="","FAIL",G26="","FAIL",H26="","FAIL",I26="","FAIL",J26="","FAIL",K26="","FAIL",L26="","FAIL",H26&gt;P26,"FAIL",I26&gt;Q26,"FAIL",J26&gt;R26,"FAIL",F26&gt;3000,"FAIL",N26/G26&gt;0.5,"FAIL",COUNTIF(M26,"Outdoor Sales Lot")+COUNTIF(M26,"Outdoor Dining")&gt;COUNTA(N26),"FAIL",M26=$C$14,"PASS",M26=$C$15,"PASS",M26="BASE","PASS",M26="","PASS",M26&lt;&gt;$C$14,"FAIL",M26&lt;&gt;$C$15,"FAIL"),"PASS"))</f>
        <v/>
      </c>
    </row>
    <row r="27" spans="1:19" ht="15" thickBot="1" x14ac:dyDescent="0.35">
      <c r="B27" s="56" t="s">
        <v>31</v>
      </c>
      <c r="C27" s="57"/>
      <c r="D27" s="58"/>
      <c r="E27" s="34" t="str">
        <f t="shared" si="0"/>
        <v/>
      </c>
      <c r="F27" s="60"/>
      <c r="G27" s="58"/>
      <c r="H27" s="58"/>
      <c r="I27" s="58"/>
      <c r="J27" s="58"/>
      <c r="K27" s="58"/>
      <c r="L27" s="58"/>
      <c r="M27" s="58"/>
      <c r="N27" s="58"/>
      <c r="O27" s="53" t="str">
        <f t="shared" si="1"/>
        <v/>
      </c>
      <c r="P27" s="35" t="str" cm="1">
        <f t="array" ref="P27">IF(H27="","",VLOOKUP($C$2,'Ref - Lighting Context Area'!$B$11:$M$16,1+_xlfn.IFS(L27="YES",5,$O27&lt;0.5,1,$O27&lt;1,2,$O27&lt;2,3,$O27&gt;=2,4),FALSE))</f>
        <v/>
      </c>
      <c r="Q27" s="35" t="str">
        <f>IF(I27="","",VLOOKUP($C$2,'Ref - Lighting Context Area'!$B$11:$M$16,7,FALSE))</f>
        <v/>
      </c>
      <c r="R27" s="35" t="str" cm="1">
        <f t="array" ref="R27">IF(J27="","",VLOOKUP($C$2,'Ref - Lighting Context Area'!$B$11:$M$16,7+_xlfn.IFS($O27&gt;2,4,$L27="NO",5,$O27&lt;0.5,1,$O27&lt;1,2,$O27&lt;=2,3),FALSE))</f>
        <v/>
      </c>
      <c r="S27" s="36" t="str" cm="1">
        <f t="array" ref="S27">IF(C27=0,"",_xlfn.IFNA(_xlfn.IFS(F27="","FAIL",G27="","FAIL",H27="","FAIL",I27="","FAIL",J27="","FAIL",K27="","FAIL",L27="","FAIL",H27&gt;P27,"FAIL",I27&gt;Q27,"FAIL",J27&gt;R27,"FAIL",F27&gt;3000,"FAIL",N27/G27&gt;0.5,"FAIL",COUNTIF(M27,"Outdoor Sales Lot")+COUNTIF(M27,"Outdoor Dining")&gt;COUNTA(N27),"FAIL",M27=$C$14,"PASS",M27=$C$15,"PASS",M27="BASE","PASS",M27="","PASS",M27&lt;&gt;$C$14,"FAIL",M27&lt;&gt;$C$15,"FAIL"),"PASS"))</f>
        <v/>
      </c>
    </row>
    <row r="28" spans="1:19" ht="15" thickBot="1" x14ac:dyDescent="0.35">
      <c r="B28" s="56" t="s">
        <v>32</v>
      </c>
      <c r="C28" s="57"/>
      <c r="D28" s="58"/>
      <c r="E28" s="34" t="str">
        <f>IF(C28*D28=0,"",C28*D28)</f>
        <v/>
      </c>
      <c r="F28" s="60"/>
      <c r="G28" s="58"/>
      <c r="H28" s="58"/>
      <c r="I28" s="58"/>
      <c r="J28" s="58"/>
      <c r="K28" s="58"/>
      <c r="L28" s="58"/>
      <c r="M28" s="58"/>
      <c r="N28" s="58"/>
      <c r="O28" s="53" t="str">
        <f t="shared" si="1"/>
        <v/>
      </c>
      <c r="P28" s="35" t="str" cm="1">
        <f t="array" ref="P28">IF(H28="","",VLOOKUP($C$2,'Ref - Lighting Context Area'!$B$11:$M$16,1+_xlfn.IFS(L28="YES",5,$O28&lt;0.5,1,$O28&lt;1,2,$O28&lt;2,3,$O28&gt;=2,4),FALSE))</f>
        <v/>
      </c>
      <c r="Q28" s="35" t="str">
        <f>IF(I28="","",VLOOKUP($C$2,'Ref - Lighting Context Area'!$B$11:$M$16,7,FALSE))</f>
        <v/>
      </c>
      <c r="R28" s="35" t="str" cm="1">
        <f t="array" ref="R28">IF(J28="","",VLOOKUP($C$2,'Ref - Lighting Context Area'!$B$11:$M$16,7+_xlfn.IFS($O28&gt;2,4,$L28="NO",5,$O28&lt;0.5,1,$O28&lt;1,2,$O28&lt;=2,3),FALSE))</f>
        <v/>
      </c>
      <c r="S28" s="36" t="str" cm="1">
        <f t="array" ref="S28">IF(C28=0,"",_xlfn.IFNA(_xlfn.IFS(F28="","FAIL",G28="","FAIL",H28="","FAIL",I28="","FAIL",J28="","FAIL",K28="","FAIL",L28="","FAIL",H28&gt;P28,"FAIL",I28&gt;Q28,"FAIL",J28&gt;R28,"FAIL",F28&gt;3000,"FAIL",N28/G28&gt;0.5,"FAIL",COUNTIF(M28,"Outdoor Sales Lot")+COUNTIF(M28,"Outdoor Dining")&gt;COUNTA(N28),"FAIL",M28=$C$14,"PASS",M28=$C$15,"PASS",M28="BASE","PASS",M28="","PASS",M28&lt;&gt;$C$14,"FAIL",M28&lt;&gt;$C$15,"FAIL"),"PASS"))</f>
        <v/>
      </c>
    </row>
    <row r="29" spans="1:19" ht="15" thickBot="1" x14ac:dyDescent="0.35">
      <c r="B29" s="56" t="s">
        <v>33</v>
      </c>
      <c r="C29" s="57"/>
      <c r="D29" s="58"/>
      <c r="E29" s="34" t="str">
        <f t="shared" ref="E29:E31" si="2">IF(C29*D29=0,"",C29*D29)</f>
        <v/>
      </c>
      <c r="F29" s="60"/>
      <c r="G29" s="58"/>
      <c r="H29" s="58"/>
      <c r="I29" s="58"/>
      <c r="J29" s="58"/>
      <c r="K29" s="58"/>
      <c r="L29" s="58"/>
      <c r="M29" s="58"/>
      <c r="N29" s="58"/>
      <c r="O29" s="53" t="str">
        <f t="shared" si="1"/>
        <v/>
      </c>
      <c r="P29" s="35" t="str" cm="1">
        <f t="array" ref="P29">IF(H29="","",VLOOKUP($C$2,'Ref - Lighting Context Area'!$B$11:$M$16,1+_xlfn.IFS(L29="YES",5,$O29&lt;0.5,1,$O29&lt;1,2,$O29&lt;2,3,$O29&gt;=2,4),FALSE))</f>
        <v/>
      </c>
      <c r="Q29" s="35" t="str">
        <f>IF(I29="","",VLOOKUP($C$2,'Ref - Lighting Context Area'!$B$11:$M$16,7,FALSE))</f>
        <v/>
      </c>
      <c r="R29" s="35" t="str" cm="1">
        <f t="array" ref="R29">IF(J29="","",VLOOKUP($C$2,'Ref - Lighting Context Area'!$B$11:$M$16,7+_xlfn.IFS($O29&gt;2,4,$L29="NO",5,$O29&lt;0.5,1,$O29&lt;1,2,$O29&lt;=2,3),FALSE))</f>
        <v/>
      </c>
      <c r="S29" s="36" t="str" cm="1">
        <f t="array" ref="S29">IF(C29=0,"",_xlfn.IFNA(_xlfn.IFS(F29="","FAIL",G29="","FAIL",H29="","FAIL",I29="","FAIL",J29="","FAIL",K29="","FAIL",L29="","FAIL",H29&gt;P29,"FAIL",I29&gt;Q29,"FAIL",J29&gt;R29,"FAIL",F29&gt;3000,"FAIL",N29/G29&gt;0.5,"FAIL",COUNTIF(M29,"Outdoor Sales Lot")+COUNTIF(M29,"Outdoor Dining")&gt;COUNTA(N29),"FAIL",M29=$C$14,"PASS",M29=$C$15,"PASS",M29="BASE","PASS",M29="","PASS",M29&lt;&gt;$C$14,"FAIL",M29&lt;&gt;$C$15,"FAIL"),"PASS"))</f>
        <v/>
      </c>
    </row>
    <row r="30" spans="1:19" ht="15" thickBot="1" x14ac:dyDescent="0.35">
      <c r="B30" s="56" t="s">
        <v>34</v>
      </c>
      <c r="C30" s="57"/>
      <c r="D30" s="58"/>
      <c r="E30" s="34" t="str">
        <f t="shared" si="2"/>
        <v/>
      </c>
      <c r="F30" s="60"/>
      <c r="G30" s="58"/>
      <c r="H30" s="58"/>
      <c r="I30" s="58"/>
      <c r="J30" s="58"/>
      <c r="K30" s="58"/>
      <c r="L30" s="58"/>
      <c r="M30" s="58"/>
      <c r="N30" s="58"/>
      <c r="O30" s="53" t="str">
        <f t="shared" si="1"/>
        <v/>
      </c>
      <c r="P30" s="35" t="str" cm="1">
        <f t="array" ref="P30">IF(H30="","",VLOOKUP($C$2,'Ref - Lighting Context Area'!$B$11:$M$16,1+_xlfn.IFS(L30="YES",5,$O30&lt;0.5,1,$O30&lt;1,2,$O30&lt;2,3,$O30&gt;=2,4),FALSE))</f>
        <v/>
      </c>
      <c r="Q30" s="35" t="str">
        <f>IF(I30="","",VLOOKUP($C$2,'Ref - Lighting Context Area'!$B$11:$M$16,7,FALSE))</f>
        <v/>
      </c>
      <c r="R30" s="35" t="str" cm="1">
        <f t="array" ref="R30">IF(J30="","",VLOOKUP($C$2,'Ref - Lighting Context Area'!$B$11:$M$16,7+_xlfn.IFS($O30&gt;2,4,$L30="NO",5,$O30&lt;0.5,1,$O30&lt;1,2,$O30&lt;=2,3),FALSE))</f>
        <v/>
      </c>
      <c r="S30" s="36" t="str" cm="1">
        <f t="array" ref="S30">IF(C30=0,"",_xlfn.IFNA(_xlfn.IFS(F30="","FAIL",G30="","FAIL",H30="","FAIL",I30="","FAIL",J30="","FAIL",K30="","FAIL",L30="","FAIL",H30&gt;P30,"FAIL",I30&gt;Q30,"FAIL",J30&gt;R30,"FAIL",F30&gt;3000,"FAIL",N30/G30&gt;0.5,"FAIL",COUNTIF(M30,"Outdoor Sales Lot")+COUNTIF(M30,"Outdoor Dining")&gt;COUNTA(N30),"FAIL",M30=$C$14,"PASS",M30=$C$15,"PASS",M30="BASE","PASS",M30="","PASS",M30&lt;&gt;$C$14,"FAIL",M30&lt;&gt;$C$15,"FAIL"),"PASS"))</f>
        <v/>
      </c>
    </row>
    <row r="31" spans="1:19" ht="15" thickBot="1" x14ac:dyDescent="0.35">
      <c r="B31" s="56" t="s">
        <v>35</v>
      </c>
      <c r="C31" s="57"/>
      <c r="D31" s="58"/>
      <c r="E31" s="55" t="str">
        <f t="shared" si="2"/>
        <v/>
      </c>
      <c r="F31" s="60"/>
      <c r="G31" s="58"/>
      <c r="H31" s="58"/>
      <c r="I31" s="58"/>
      <c r="J31" s="58"/>
      <c r="K31" s="58"/>
      <c r="L31" s="58"/>
      <c r="M31" s="58"/>
      <c r="N31" s="58"/>
      <c r="O31" s="53" t="str">
        <f t="shared" si="1"/>
        <v/>
      </c>
      <c r="P31" s="35" t="str" cm="1">
        <f t="array" ref="P31">IF(H31="","",VLOOKUP($C$2,'Ref - Lighting Context Area'!$B$11:$M$16,1+_xlfn.IFS(L31="YES",5,$O31&lt;0.5,1,$O31&lt;1,2,$O31&lt;2,3,$O31&gt;=2,4),FALSE))</f>
        <v/>
      </c>
      <c r="Q31" s="35" t="str">
        <f>IF(I31="","",VLOOKUP($C$2,'Ref - Lighting Context Area'!$B$11:$M$16,7,FALSE))</f>
        <v/>
      </c>
      <c r="R31" s="35" t="str" cm="1">
        <f t="array" ref="R31">IF(J31="","",VLOOKUP($C$2,'Ref - Lighting Context Area'!$B$11:$M$16,7+_xlfn.IFS($O31&gt;2,4,$L31="NO",5,$O31&lt;0.5,1,$O31&lt;1,2,$O31&lt;=2,3),FALSE))</f>
        <v/>
      </c>
      <c r="S31" s="36" t="str" cm="1">
        <f t="array" ref="S31">IF(C31=0,"",_xlfn.IFNA(_xlfn.IFS(F31="","FAIL",G31="","FAIL",H31="","FAIL",I31="","FAIL",J31="","FAIL",K31="","FAIL",L31="","FAIL",H31&gt;P31,"FAIL",I31&gt;Q31,"FAIL",J31&gt;R31,"FAIL",F31&gt;3000,"FAIL",N31/G31&gt;0.5,"FAIL",COUNTIF(M31,"Outdoor Sales Lot")+COUNTIF(M31,"Outdoor Dining")&gt;COUNTA(N31),"FAIL",M31=$C$14,"PASS",M31=$C$15,"PASS",M31="BASE","PASS",M31="","PASS",M31&lt;&gt;$C$14,"FAIL",M31&lt;&gt;$C$15,"FAIL"),"PASS"))</f>
        <v/>
      </c>
    </row>
    <row r="33" spans="2:19" x14ac:dyDescent="0.3">
      <c r="B33" s="21" t="s">
        <v>41</v>
      </c>
      <c r="C33" s="37" cm="1">
        <f t="array" ref="C33">IF(COUNTA(C11)&gt;0,0,_xlfn.IFNA(VLOOKUP(B17,'Ref - Lighting Context Area'!B18:G23,_xlfn.IFS($C$2="LC0",3,$C$2="LC1",4,$C$2="LC2",5,$C$2="LC3",6),FALSE)*C17,0))</f>
        <v>0</v>
      </c>
      <c r="D33" s="18" t="s">
        <v>50</v>
      </c>
      <c r="H33" s="66" t="s">
        <v>103</v>
      </c>
      <c r="I33" s="66"/>
      <c r="J33" s="66"/>
      <c r="K33" s="66"/>
      <c r="L33" s="66"/>
      <c r="M33" s="66"/>
      <c r="N33" s="66"/>
      <c r="O33" s="66"/>
      <c r="P33" s="66"/>
      <c r="Q33" s="66"/>
      <c r="R33" s="66"/>
      <c r="S33" s="66"/>
    </row>
    <row r="34" spans="2:19" x14ac:dyDescent="0.3">
      <c r="B34" s="21" t="s">
        <v>42</v>
      </c>
      <c r="C34" s="37" cm="1">
        <f t="array" ref="C34">IF(COUNTA(C11)&gt;0,0,_xlfn.IFNA(VLOOKUP(B18,'Ref - Lighting Context Area'!B19:G24,_xlfn.IFS($C$2="LC0",3,$C$2="LC1",4,$C$2="LC2",5,$C$2="LC3",6),FALSE)*C18,0))</f>
        <v>0</v>
      </c>
      <c r="D34" s="18" t="s">
        <v>50</v>
      </c>
      <c r="H34" s="66"/>
      <c r="I34" s="66"/>
      <c r="J34" s="66"/>
      <c r="K34" s="66"/>
      <c r="L34" s="66"/>
      <c r="M34" s="66"/>
      <c r="N34" s="66"/>
      <c r="O34" s="66"/>
      <c r="P34" s="66"/>
      <c r="Q34" s="66"/>
      <c r="R34" s="66"/>
      <c r="S34" s="66"/>
    </row>
    <row r="35" spans="2:19" x14ac:dyDescent="0.3">
      <c r="H35" s="66"/>
      <c r="I35" s="66"/>
      <c r="J35" s="66"/>
      <c r="K35" s="66"/>
      <c r="L35" s="66"/>
      <c r="M35" s="66"/>
      <c r="N35" s="66"/>
      <c r="O35" s="66"/>
      <c r="P35" s="66"/>
      <c r="Q35" s="66"/>
      <c r="R35" s="66"/>
      <c r="S35" s="66"/>
    </row>
    <row r="36" spans="2:19" x14ac:dyDescent="0.3">
      <c r="B36" s="21" t="s">
        <v>52</v>
      </c>
      <c r="C36" s="37">
        <f>IF(C9=0,C11*VLOOKUP(C2,'Ref - Lighting Context Area'!B3:E7,3,FALSE),C9*VLOOKUP(C2,'Ref - Lighting Context Area'!B3:E7,4,FALSE))</f>
        <v>25000</v>
      </c>
      <c r="D36" s="18" t="s">
        <v>50</v>
      </c>
      <c r="H36" s="66"/>
      <c r="I36" s="66"/>
      <c r="J36" s="66"/>
      <c r="K36" s="66"/>
      <c r="L36" s="66"/>
      <c r="M36" s="66"/>
      <c r="N36" s="66"/>
      <c r="O36" s="66"/>
      <c r="P36" s="66"/>
      <c r="Q36" s="66"/>
      <c r="R36" s="66"/>
      <c r="S36" s="66"/>
    </row>
    <row r="37" spans="2:19" x14ac:dyDescent="0.3">
      <c r="B37" s="21" t="s">
        <v>51</v>
      </c>
      <c r="C37" s="37">
        <f>IF(C11&gt;0,SUM(E22:E31),SUM(E22:E31)-C39-C40)</f>
        <v>7300</v>
      </c>
      <c r="D37" s="18" t="s">
        <v>50</v>
      </c>
      <c r="E37" s="30" t="str">
        <f>IF(C37&gt;C36,"FAIL","PASS")</f>
        <v>PASS</v>
      </c>
      <c r="H37" s="66"/>
      <c r="I37" s="66"/>
      <c r="J37" s="66"/>
      <c r="K37" s="66"/>
      <c r="L37" s="66"/>
      <c r="M37" s="66"/>
      <c r="N37" s="66"/>
      <c r="O37" s="66"/>
      <c r="P37" s="66"/>
      <c r="Q37" s="66"/>
      <c r="R37" s="66"/>
      <c r="S37" s="66"/>
    </row>
    <row r="38" spans="2:19" x14ac:dyDescent="0.3">
      <c r="H38" s="66"/>
      <c r="I38" s="66"/>
      <c r="J38" s="66"/>
      <c r="K38" s="66"/>
      <c r="L38" s="66"/>
      <c r="M38" s="66"/>
      <c r="N38" s="66"/>
      <c r="O38" s="66"/>
      <c r="P38" s="66"/>
      <c r="Q38" s="66"/>
      <c r="R38" s="66"/>
      <c r="S38" s="66"/>
    </row>
    <row r="39" spans="2:19" x14ac:dyDescent="0.3">
      <c r="B39" s="21" t="s">
        <v>53</v>
      </c>
      <c r="C39" s="37">
        <f>SUMIF($M$22:$M$31,C14,$E$22:$E$31)</f>
        <v>0</v>
      </c>
      <c r="D39" s="18" t="s">
        <v>50</v>
      </c>
      <c r="H39" s="66"/>
      <c r="I39" s="66"/>
      <c r="J39" s="66"/>
      <c r="K39" s="66"/>
      <c r="L39" s="66"/>
      <c r="M39" s="66"/>
      <c r="N39" s="66"/>
      <c r="O39" s="66"/>
      <c r="P39" s="66"/>
      <c r="Q39" s="66"/>
      <c r="R39" s="66"/>
      <c r="S39" s="66"/>
    </row>
    <row r="40" spans="2:19" x14ac:dyDescent="0.3">
      <c r="B40" s="21" t="s">
        <v>54</v>
      </c>
      <c r="C40" s="37">
        <f>SUMIF($M$22:$M$31,C15,$E$22:$E$31)</f>
        <v>0</v>
      </c>
      <c r="D40" s="18" t="s">
        <v>50</v>
      </c>
      <c r="H40" s="66"/>
      <c r="I40" s="66"/>
      <c r="J40" s="66"/>
      <c r="K40" s="66"/>
      <c r="L40" s="66"/>
      <c r="M40" s="66"/>
      <c r="N40" s="66"/>
      <c r="O40" s="66"/>
      <c r="P40" s="66"/>
      <c r="Q40" s="66"/>
      <c r="R40" s="66"/>
      <c r="S40" s="66"/>
    </row>
    <row r="41" spans="2:19" x14ac:dyDescent="0.3">
      <c r="B41" s="18" t="s">
        <v>46</v>
      </c>
      <c r="C41" s="38">
        <f>C37+C39+C40</f>
        <v>7300</v>
      </c>
      <c r="D41" s="18" t="s">
        <v>50</v>
      </c>
      <c r="E41" s="30" t="str">
        <f>IF(C41&gt;(C36+C34+C33),"FAIL","PASS")</f>
        <v>PASS</v>
      </c>
    </row>
  </sheetData>
  <sheetProtection algorithmName="SHA-512" hashValue="ajH3VbC6gbFPmKs9oQKjG+p+bV9SZ7OMfRivbpyfTrzrIz2XJsHNAnFd8dnbK7GThLuoGA4LkdB9zW7MuDUODw==" saltValue="ubVyA9k6H7wPGLX7Fqyv5A==" spinCount="100000" sheet="1" objects="1" scenarios="1"/>
  <mergeCells count="18">
    <mergeCell ref="C14:D14"/>
    <mergeCell ref="C15:D15"/>
    <mergeCell ref="C1:D1"/>
    <mergeCell ref="L20:L21"/>
    <mergeCell ref="M20:M21"/>
    <mergeCell ref="F3:G5"/>
    <mergeCell ref="B20:B21"/>
    <mergeCell ref="C20:C21"/>
    <mergeCell ref="D20:D21"/>
    <mergeCell ref="E20:E21"/>
    <mergeCell ref="G20:G21"/>
    <mergeCell ref="F20:F21"/>
    <mergeCell ref="O20:O21"/>
    <mergeCell ref="K20:K21"/>
    <mergeCell ref="H33:S40"/>
    <mergeCell ref="S20:S21"/>
    <mergeCell ref="H1:S18"/>
    <mergeCell ref="N20:N21"/>
  </mergeCells>
  <phoneticPr fontId="3" type="noConversion"/>
  <conditionalFormatting sqref="B22:B31">
    <cfRule type="expression" dxfId="43" priority="8">
      <formula>IF($S22="",TRUE,FALSE)</formula>
    </cfRule>
    <cfRule type="expression" dxfId="42" priority="9">
      <formula>IF($S22="FAIL",FALSE,TRUE)</formula>
    </cfRule>
    <cfRule type="expression" dxfId="41" priority="10">
      <formula>IF($S22="FAIL",TRUE,FALSE)</formula>
    </cfRule>
  </conditionalFormatting>
  <conditionalFormatting sqref="C5">
    <cfRule type="containsBlanks" dxfId="39" priority="62">
      <formula>LEN(TRIM(C5))=0</formula>
    </cfRule>
  </conditionalFormatting>
  <conditionalFormatting sqref="C7">
    <cfRule type="containsBlanks" dxfId="37" priority="54">
      <formula>LEN(TRIM(C7))=0</formula>
    </cfRule>
    <cfRule type="cellIs" dxfId="36" priority="55" operator="lessThanOrEqual">
      <formula>3000</formula>
    </cfRule>
    <cfRule type="cellIs" dxfId="35" priority="63" operator="greaterThan">
      <formula>3000</formula>
    </cfRule>
  </conditionalFormatting>
  <conditionalFormatting sqref="C9">
    <cfRule type="expression" dxfId="34" priority="19">
      <formula>IF(COUNTA($C$11)&gt;0,TRUE)</formula>
    </cfRule>
  </conditionalFormatting>
  <conditionalFormatting sqref="C11">
    <cfRule type="cellIs" dxfId="33" priority="17" operator="greaterThan">
      <formula>10</formula>
    </cfRule>
    <cfRule type="expression" dxfId="32" priority="20">
      <formula>IF(COUNTA($C$9)&gt;0,TRUE)</formula>
    </cfRule>
  </conditionalFormatting>
  <conditionalFormatting sqref="C17:C18">
    <cfRule type="expression" dxfId="31" priority="13">
      <formula>IF(COUNTA($C14)=1,TRUE,FALSE)</formula>
    </cfRule>
    <cfRule type="expression" dxfId="30" priority="12">
      <formula>IF(COUNTA($C14)=1,FALSE,TRUE)</formula>
    </cfRule>
    <cfRule type="expression" dxfId="29" priority="18">
      <formula>IF(COUNTA($C$11)&gt;0,TRUE)</formula>
    </cfRule>
  </conditionalFormatting>
  <conditionalFormatting sqref="C37">
    <cfRule type="cellIs" dxfId="28" priority="28" operator="lessThanOrEqual">
      <formula>$C$36</formula>
    </cfRule>
    <cfRule type="cellIs" dxfId="27" priority="27" operator="greaterThan">
      <formula>$C$36</formula>
    </cfRule>
  </conditionalFormatting>
  <conditionalFormatting sqref="C41">
    <cfRule type="cellIs" dxfId="26" priority="26" operator="lessThanOrEqual">
      <formula>$C$33+$C$34+$C$36</formula>
    </cfRule>
    <cfRule type="cellIs" dxfId="25" priority="25" operator="greaterThan">
      <formula>$C$33+$C$34+$C$36</formula>
    </cfRule>
  </conditionalFormatting>
  <conditionalFormatting sqref="C14:D15">
    <cfRule type="expression" dxfId="24" priority="11">
      <formula>IF($C$11&gt;0,TRUE,FALSE)</formula>
    </cfRule>
  </conditionalFormatting>
  <conditionalFormatting sqref="E37">
    <cfRule type="containsText" dxfId="23" priority="6" operator="containsText" text="FAIL">
      <formula>NOT(ISERROR(SEARCH("FAIL",E37)))</formula>
    </cfRule>
    <cfRule type="containsText" dxfId="22" priority="7" operator="containsText" text="PASS">
      <formula>NOT(ISERROR(SEARCH("PASS",E37)))</formula>
    </cfRule>
  </conditionalFormatting>
  <conditionalFormatting sqref="E41">
    <cfRule type="containsText" dxfId="21" priority="4" operator="containsText" text="FAIL">
      <formula>NOT(ISERROR(SEARCH("FAIL",E41)))</formula>
    </cfRule>
    <cfRule type="containsText" dxfId="20" priority="5" operator="containsText" text="PASS">
      <formula>NOT(ISERROR(SEARCH("PASS",E41)))</formula>
    </cfRule>
  </conditionalFormatting>
  <conditionalFormatting sqref="F1">
    <cfRule type="containsText" dxfId="19" priority="23" operator="containsText" text="FAIL">
      <formula>NOT(ISERROR(SEARCH("FAIL",F1)))</formula>
    </cfRule>
    <cfRule type="containsText" dxfId="18" priority="24" operator="containsText" text="PASS">
      <formula>NOT(ISERROR(SEARCH("PASS",F1)))</formula>
    </cfRule>
  </conditionalFormatting>
  <conditionalFormatting sqref="F22:F31">
    <cfRule type="cellIs" dxfId="17" priority="66" operator="greaterThan">
      <formula>3000</formula>
    </cfRule>
    <cfRule type="cellIs" dxfId="16" priority="64" operator="lessThanOrEqual">
      <formula>3000</formula>
    </cfRule>
    <cfRule type="containsBlanks" dxfId="15" priority="16">
      <formula>LEN(TRIM(F22))=0</formula>
    </cfRule>
  </conditionalFormatting>
  <conditionalFormatting sqref="H22:J31">
    <cfRule type="containsBlanks" dxfId="14" priority="38">
      <formula>LEN(TRIM(H22))=0</formula>
    </cfRule>
    <cfRule type="cellIs" dxfId="13" priority="45" operator="greaterThan">
      <formula>P22</formula>
    </cfRule>
    <cfRule type="cellIs" dxfId="12" priority="67" operator="lessThanOrEqual">
      <formula>P22</formula>
    </cfRule>
  </conditionalFormatting>
  <conditionalFormatting sqref="M22:M31">
    <cfRule type="containsBlanks" dxfId="11" priority="56">
      <formula>LEN(TRIM(M22))=0</formula>
    </cfRule>
    <cfRule type="cellIs" dxfId="10" priority="57" operator="equal">
      <formula>$C$15</formula>
    </cfRule>
    <cfRule type="cellIs" dxfId="9" priority="58" operator="equal">
      <formula>$C$14</formula>
    </cfRule>
    <cfRule type="notContainsText" dxfId="8" priority="68" operator="notContains" text="$C$27,$C$28,&quot;other&quot;">
      <formula>ISERROR(SEARCH("$C$27,$C$28,""other""",M22))</formula>
    </cfRule>
    <cfRule type="cellIs" dxfId="7" priority="59" operator="equal">
      <formula>"BASE"</formula>
    </cfRule>
  </conditionalFormatting>
  <conditionalFormatting sqref="M22:N31">
    <cfRule type="expression" dxfId="6" priority="2">
      <formula>IF(COUNTA($C$11)=1,TRUE,FALSE)</formula>
    </cfRule>
  </conditionalFormatting>
  <conditionalFormatting sqref="N22:N31">
    <cfRule type="cellIs" dxfId="5" priority="31" operator="greaterThan">
      <formula>0.5*$G22</formula>
    </cfRule>
    <cfRule type="expression" dxfId="4" priority="32" stopIfTrue="1">
      <formula>IF($N22="",_xlfn.IFS($M22="Outdoor Sales Lot",TRUE,$M22="Outdoor Dining",TRUE),FALSE)</formula>
    </cfRule>
    <cfRule type="containsBlanks" dxfId="3" priority="70">
      <formula>LEN(TRIM(N22))=0</formula>
    </cfRule>
    <cfRule type="cellIs" dxfId="2" priority="71" operator="lessThanOrEqual">
      <formula>0.5*$G$22</formula>
    </cfRule>
  </conditionalFormatting>
  <conditionalFormatting sqref="S22:S31">
    <cfRule type="containsText" dxfId="1" priority="21" operator="containsText" text="FAIL">
      <formula>NOT(ISERROR(SEARCH("FAIL",S22)))</formula>
    </cfRule>
    <cfRule type="containsText" dxfId="0" priority="22" operator="containsText" text="PASS">
      <formula>NOT(ISERROR(SEARCH("PASS",S22)))</formula>
    </cfRule>
  </conditionalFormatting>
  <dataValidations count="1">
    <dataValidation type="list" allowBlank="1" showInputMessage="1" showErrorMessage="1" sqref="L22:L31" xr:uid="{820C40E4-C7FF-4A5D-A979-261E7F40948B}">
      <formula1>"Yes,No"</formula1>
    </dataValidation>
  </dataValidations>
  <pageMargins left="0.7" right="0.7" top="0.75" bottom="0.75" header="0.3" footer="0.3"/>
  <pageSetup paperSize="3" orientation="landscape" r:id="rId1"/>
  <headerFooter>
    <oddHeader>&amp;CFORT COLLINS LIGHTING ORDINANCE COMPLIANCE FORM</oddHeader>
  </headerFooter>
  <extLst>
    <ext xmlns:x14="http://schemas.microsoft.com/office/spreadsheetml/2009/9/main" uri="{78C0D931-6437-407d-A8EE-F0AAD7539E65}">
      <x14:conditionalFormattings>
        <x14:conditionalFormatting xmlns:xm="http://schemas.microsoft.com/office/excel/2006/main">
          <x14:cfRule type="expression" priority="72" id="{271FB300-13EA-48FA-830A-EBA7958DDA0C}">
            <xm:f>$C$5&lt;=VLOOKUP($C$2,'Ref - Lighting Context Area'!$B$3:$I$8,2,FALSE)</xm:f>
            <x14:dxf>
              <fill>
                <patternFill>
                  <bgColor rgb="FF00B050"/>
                </patternFill>
              </fill>
            </x14:dxf>
          </x14:cfRule>
          <x14:cfRule type="expression" priority="65" id="{437C647E-9F68-47B1-9267-0D6CA7CC894B}">
            <xm:f>$C$5&gt;VLOOKUP($C$2,'Ref - Lighting Context Area'!$B$3:$I$8,2,FALSE)</xm:f>
            <x14:dxf>
              <fill>
                <patternFill>
                  <bgColor rgb="FFFF0000"/>
                </patternFill>
              </fill>
            </x14:dxf>
          </x14:cfRule>
          <xm:sqref>C5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8F5534-3641-4E59-81A5-6F7F2C313353}">
          <x14:formula1>
            <xm:f>'Ref - Lighting Context Area'!$B$19:$B$23</xm:f>
          </x14:formula1>
          <xm:sqref>M22:M31</xm:sqref>
        </x14:dataValidation>
        <x14:dataValidation type="list" allowBlank="1" showInputMessage="1" showErrorMessage="1" xr:uid="{072CE33D-26ED-4D1F-9E9A-CC6BA3AFFED6}">
          <x14:formula1>
            <xm:f>'Ref - Lighting Context Area'!$B$19:$B$22</xm:f>
          </x14:formula1>
          <xm:sqref>C14:C15</xm:sqref>
        </x14:dataValidation>
        <x14:dataValidation type="list" allowBlank="1" showInputMessage="1" showErrorMessage="1" xr:uid="{1F0724C0-EC97-47DD-BE05-AE1522F93E4C}">
          <x14:formula1>
            <xm:f>'Ref - Zone Districts'!$B$4:$B$28</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91BA-111E-4C66-9722-A2D1B0558A26}">
  <dimension ref="B1:H28"/>
  <sheetViews>
    <sheetView workbookViewId="0">
      <selection activeCell="C5" sqref="C5"/>
    </sheetView>
  </sheetViews>
  <sheetFormatPr defaultColWidth="8.88671875" defaultRowHeight="14.4" x14ac:dyDescent="0.3"/>
  <cols>
    <col min="1" max="1" width="8.88671875" style="7"/>
    <col min="2" max="2" width="17.88671875" style="7" customWidth="1"/>
    <col min="3" max="3" width="12.21875" style="8" customWidth="1"/>
    <col min="4" max="4" width="29.44140625" style="7" customWidth="1"/>
    <col min="5" max="16384" width="8.88671875" style="7"/>
  </cols>
  <sheetData>
    <row r="1" spans="2:8" ht="15" thickBot="1" x14ac:dyDescent="0.35"/>
    <row r="2" spans="2:8" ht="26.4" customHeight="1" thickBot="1" x14ac:dyDescent="0.35">
      <c r="B2" s="15" t="s">
        <v>2</v>
      </c>
      <c r="C2" s="16"/>
      <c r="D2" s="17"/>
      <c r="E2" s="1"/>
      <c r="G2" s="7" t="s">
        <v>104</v>
      </c>
      <c r="H2" s="7" t="s">
        <v>105</v>
      </c>
    </row>
    <row r="3" spans="2:8" ht="26.4" x14ac:dyDescent="0.3">
      <c r="B3" s="2" t="s">
        <v>11</v>
      </c>
      <c r="C3" s="12" t="s">
        <v>0</v>
      </c>
      <c r="D3" s="3" t="s">
        <v>1</v>
      </c>
    </row>
    <row r="4" spans="2:8" ht="30" customHeight="1" x14ac:dyDescent="0.3">
      <c r="B4" s="11" t="s">
        <v>89</v>
      </c>
      <c r="C4" s="13" t="s">
        <v>3</v>
      </c>
      <c r="D4" s="4" t="s">
        <v>7</v>
      </c>
    </row>
    <row r="5" spans="2:8" ht="66" x14ac:dyDescent="0.3">
      <c r="B5" s="9" t="s">
        <v>90</v>
      </c>
      <c r="C5" s="13" t="s">
        <v>4</v>
      </c>
      <c r="D5" s="4" t="s">
        <v>8</v>
      </c>
    </row>
    <row r="6" spans="2:8" ht="66" x14ac:dyDescent="0.3">
      <c r="B6" s="9" t="s">
        <v>62</v>
      </c>
      <c r="C6" s="13" t="s">
        <v>4</v>
      </c>
      <c r="D6" s="4" t="s">
        <v>8</v>
      </c>
    </row>
    <row r="7" spans="2:8" ht="66" x14ac:dyDescent="0.3">
      <c r="B7" s="9" t="s">
        <v>63</v>
      </c>
      <c r="C7" s="13" t="s">
        <v>4</v>
      </c>
      <c r="D7" s="4" t="s">
        <v>8</v>
      </c>
    </row>
    <row r="8" spans="2:8" ht="66" x14ac:dyDescent="0.3">
      <c r="B8" s="9" t="s">
        <v>64</v>
      </c>
      <c r="C8" s="13" t="s">
        <v>4</v>
      </c>
      <c r="D8" s="4" t="s">
        <v>8</v>
      </c>
    </row>
    <row r="9" spans="2:8" ht="66" x14ac:dyDescent="0.3">
      <c r="B9" s="9" t="s">
        <v>65</v>
      </c>
      <c r="C9" s="13" t="s">
        <v>4</v>
      </c>
      <c r="D9" s="4" t="s">
        <v>8</v>
      </c>
    </row>
    <row r="10" spans="2:8" ht="66" x14ac:dyDescent="0.3">
      <c r="B10" s="9" t="s">
        <v>66</v>
      </c>
      <c r="C10" s="13" t="s">
        <v>4</v>
      </c>
      <c r="D10" s="4" t="s">
        <v>8</v>
      </c>
    </row>
    <row r="11" spans="2:8" ht="66" x14ac:dyDescent="0.3">
      <c r="B11" s="9" t="s">
        <v>67</v>
      </c>
      <c r="C11" s="13" t="s">
        <v>4</v>
      </c>
      <c r="D11" s="4" t="s">
        <v>8</v>
      </c>
    </row>
    <row r="12" spans="2:8" ht="66" x14ac:dyDescent="0.3">
      <c r="B12" s="9" t="s">
        <v>59</v>
      </c>
      <c r="C12" s="13" t="s">
        <v>4</v>
      </c>
      <c r="D12" s="4" t="s">
        <v>8</v>
      </c>
    </row>
    <row r="13" spans="2:8" ht="66" x14ac:dyDescent="0.3">
      <c r="B13" s="9" t="s">
        <v>68</v>
      </c>
      <c r="C13" s="13" t="s">
        <v>4</v>
      </c>
      <c r="D13" s="4" t="s">
        <v>8</v>
      </c>
    </row>
    <row r="14" spans="2:8" ht="66" x14ac:dyDescent="0.3">
      <c r="B14" s="9" t="s">
        <v>69</v>
      </c>
      <c r="C14" s="13" t="s">
        <v>4</v>
      </c>
      <c r="D14" s="4" t="s">
        <v>8</v>
      </c>
    </row>
    <row r="15" spans="2:8" ht="66" x14ac:dyDescent="0.3">
      <c r="B15" s="9" t="s">
        <v>70</v>
      </c>
      <c r="C15" s="13" t="s">
        <v>4</v>
      </c>
      <c r="D15" s="4" t="s">
        <v>8</v>
      </c>
    </row>
    <row r="16" spans="2:8" ht="52.8" x14ac:dyDescent="0.3">
      <c r="B16" s="9" t="s">
        <v>71</v>
      </c>
      <c r="C16" s="13" t="s">
        <v>5</v>
      </c>
      <c r="D16" s="4" t="s">
        <v>9</v>
      </c>
    </row>
    <row r="17" spans="2:4" ht="52.8" x14ac:dyDescent="0.3">
      <c r="B17" s="9" t="s">
        <v>72</v>
      </c>
      <c r="C17" s="13" t="s">
        <v>5</v>
      </c>
      <c r="D17" s="4" t="s">
        <v>9</v>
      </c>
    </row>
    <row r="18" spans="2:4" ht="52.8" x14ac:dyDescent="0.3">
      <c r="B18" s="9" t="s">
        <v>73</v>
      </c>
      <c r="C18" s="13" t="s">
        <v>5</v>
      </c>
      <c r="D18" s="4" t="s">
        <v>9</v>
      </c>
    </row>
    <row r="19" spans="2:4" ht="52.8" x14ac:dyDescent="0.3">
      <c r="B19" s="9" t="s">
        <v>74</v>
      </c>
      <c r="C19" s="13" t="s">
        <v>5</v>
      </c>
      <c r="D19" s="4" t="s">
        <v>9</v>
      </c>
    </row>
    <row r="20" spans="2:4" ht="52.8" x14ac:dyDescent="0.3">
      <c r="B20" s="9" t="s">
        <v>75</v>
      </c>
      <c r="C20" s="13" t="s">
        <v>5</v>
      </c>
      <c r="D20" s="4" t="s">
        <v>9</v>
      </c>
    </row>
    <row r="21" spans="2:4" ht="52.8" x14ac:dyDescent="0.3">
      <c r="B21" s="9" t="s">
        <v>76</v>
      </c>
      <c r="C21" s="13" t="s">
        <v>5</v>
      </c>
      <c r="D21" s="4" t="s">
        <v>9</v>
      </c>
    </row>
    <row r="22" spans="2:4" ht="52.8" x14ac:dyDescent="0.3">
      <c r="B22" s="9" t="s">
        <v>88</v>
      </c>
      <c r="C22" s="13" t="s">
        <v>5</v>
      </c>
      <c r="D22" s="4" t="s">
        <v>9</v>
      </c>
    </row>
    <row r="23" spans="2:4" ht="52.8" x14ac:dyDescent="0.3">
      <c r="B23" s="9" t="s">
        <v>77</v>
      </c>
      <c r="C23" s="13" t="s">
        <v>5</v>
      </c>
      <c r="D23" s="4" t="s">
        <v>9</v>
      </c>
    </row>
    <row r="24" spans="2:4" ht="52.8" x14ac:dyDescent="0.3">
      <c r="B24" s="9" t="s">
        <v>78</v>
      </c>
      <c r="C24" s="13" t="s">
        <v>5</v>
      </c>
      <c r="D24" s="4" t="s">
        <v>9</v>
      </c>
    </row>
    <row r="25" spans="2:4" ht="52.8" x14ac:dyDescent="0.3">
      <c r="B25" s="9" t="s">
        <v>79</v>
      </c>
      <c r="C25" s="13" t="s">
        <v>5</v>
      </c>
      <c r="D25" s="4" t="s">
        <v>9</v>
      </c>
    </row>
    <row r="26" spans="2:4" ht="52.8" x14ac:dyDescent="0.3">
      <c r="B26" s="9" t="s">
        <v>80</v>
      </c>
      <c r="C26" s="13" t="s">
        <v>5</v>
      </c>
      <c r="D26" s="4" t="s">
        <v>9</v>
      </c>
    </row>
    <row r="27" spans="2:4" ht="26.4" x14ac:dyDescent="0.3">
      <c r="B27" s="9" t="s">
        <v>61</v>
      </c>
      <c r="C27" s="13" t="s">
        <v>6</v>
      </c>
      <c r="D27" s="4" t="s">
        <v>10</v>
      </c>
    </row>
    <row r="28" spans="2:4" ht="27" thickBot="1" x14ac:dyDescent="0.35">
      <c r="B28" s="10" t="s">
        <v>60</v>
      </c>
      <c r="C28" s="14" t="s">
        <v>6</v>
      </c>
      <c r="D28" s="5" t="s">
        <v>10</v>
      </c>
    </row>
  </sheetData>
  <sheetProtection algorithmName="SHA-512" hashValue="coHVtJ+HekFze+BkbROdDs68Nv+pQSLm291MiCHddn3On2geHQ1eaX3eVsPGbBAxJuDYsRvv/rpM4rZzM7/j8g==" saltValue="ClwnOOQ4EB2TX85MsfgdR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5467-2BD3-49ED-950D-ACF9E7C27CCF}">
  <dimension ref="B3:M23"/>
  <sheetViews>
    <sheetView workbookViewId="0">
      <selection activeCell="K11" sqref="K11"/>
    </sheetView>
  </sheetViews>
  <sheetFormatPr defaultRowHeight="14.4" x14ac:dyDescent="0.3"/>
  <cols>
    <col min="2" max="2" width="16.21875" bestFit="1" customWidth="1"/>
    <col min="4" max="4" width="9.109375" bestFit="1" customWidth="1"/>
  </cols>
  <sheetData>
    <row r="3" spans="2:13" s="6" customFormat="1" ht="43.2" x14ac:dyDescent="0.3">
      <c r="B3" s="6" t="s">
        <v>0</v>
      </c>
      <c r="C3" s="6" t="s">
        <v>15</v>
      </c>
      <c r="D3" s="6" t="s">
        <v>17</v>
      </c>
      <c r="E3" s="6" t="s">
        <v>18</v>
      </c>
    </row>
    <row r="4" spans="2:13" s="6" customFormat="1" x14ac:dyDescent="0.3">
      <c r="B4" t="s">
        <v>3</v>
      </c>
      <c r="C4">
        <v>0</v>
      </c>
      <c r="D4">
        <v>350</v>
      </c>
      <c r="E4">
        <v>0.5</v>
      </c>
      <c r="F4"/>
      <c r="G4"/>
      <c r="H4"/>
      <c r="I4"/>
    </row>
    <row r="5" spans="2:13" s="6" customFormat="1" x14ac:dyDescent="0.3">
      <c r="B5" t="s">
        <v>4</v>
      </c>
      <c r="C5">
        <v>0.1</v>
      </c>
      <c r="D5">
        <v>490</v>
      </c>
      <c r="E5">
        <v>1.25</v>
      </c>
    </row>
    <row r="6" spans="2:13" x14ac:dyDescent="0.3">
      <c r="B6" t="s">
        <v>5</v>
      </c>
      <c r="C6">
        <v>0.3</v>
      </c>
      <c r="D6">
        <v>630</v>
      </c>
      <c r="E6">
        <v>2.5</v>
      </c>
    </row>
    <row r="7" spans="2:13" x14ac:dyDescent="0.3">
      <c r="B7" t="s">
        <v>6</v>
      </c>
      <c r="C7">
        <v>0.8</v>
      </c>
      <c r="D7">
        <v>840</v>
      </c>
      <c r="E7">
        <v>5</v>
      </c>
    </row>
    <row r="10" spans="2:13" x14ac:dyDescent="0.3">
      <c r="C10" t="s">
        <v>19</v>
      </c>
      <c r="G10" t="s">
        <v>57</v>
      </c>
      <c r="H10" t="s">
        <v>20</v>
      </c>
      <c r="I10" t="s">
        <v>21</v>
      </c>
      <c r="M10" t="s">
        <v>57</v>
      </c>
    </row>
    <row r="11" spans="2:13" x14ac:dyDescent="0.3">
      <c r="B11" t="s">
        <v>55</v>
      </c>
      <c r="C11">
        <v>0</v>
      </c>
      <c r="D11">
        <v>0.5</v>
      </c>
      <c r="E11">
        <v>1</v>
      </c>
      <c r="F11">
        <v>2</v>
      </c>
      <c r="G11" t="s">
        <v>44</v>
      </c>
      <c r="I11">
        <v>0</v>
      </c>
      <c r="J11">
        <v>0.5</v>
      </c>
      <c r="K11">
        <v>1</v>
      </c>
      <c r="L11">
        <v>2</v>
      </c>
      <c r="M11" t="s">
        <v>43</v>
      </c>
    </row>
    <row r="12" spans="2:13" x14ac:dyDescent="0.3">
      <c r="B12" t="s">
        <v>56</v>
      </c>
      <c r="C12" s="6">
        <v>0.5</v>
      </c>
      <c r="D12" s="6">
        <v>1</v>
      </c>
      <c r="E12" s="6">
        <v>2</v>
      </c>
      <c r="F12" s="6"/>
      <c r="H12" s="6"/>
      <c r="I12" s="6">
        <v>0.5</v>
      </c>
      <c r="J12" s="6">
        <v>1</v>
      </c>
      <c r="K12" s="6">
        <v>2</v>
      </c>
      <c r="L12" s="6"/>
    </row>
    <row r="13" spans="2:13" x14ac:dyDescent="0.3">
      <c r="B13" t="s">
        <v>3</v>
      </c>
      <c r="C13">
        <v>0</v>
      </c>
      <c r="D13">
        <v>0</v>
      </c>
      <c r="E13">
        <v>1</v>
      </c>
      <c r="F13">
        <v>1</v>
      </c>
      <c r="G13">
        <v>1</v>
      </c>
      <c r="H13">
        <v>0</v>
      </c>
      <c r="I13">
        <v>0</v>
      </c>
      <c r="J13">
        <v>0</v>
      </c>
      <c r="K13">
        <v>0</v>
      </c>
      <c r="L13">
        <v>0</v>
      </c>
      <c r="M13">
        <v>0</v>
      </c>
    </row>
    <row r="14" spans="2:13" x14ac:dyDescent="0.3">
      <c r="B14" t="s">
        <v>4</v>
      </c>
      <c r="C14">
        <v>0</v>
      </c>
      <c r="D14">
        <v>1</v>
      </c>
      <c r="E14">
        <v>2</v>
      </c>
      <c r="F14">
        <v>3</v>
      </c>
      <c r="G14">
        <v>3</v>
      </c>
      <c r="H14">
        <v>0</v>
      </c>
      <c r="I14">
        <v>0</v>
      </c>
      <c r="J14">
        <v>0</v>
      </c>
      <c r="K14">
        <v>0</v>
      </c>
      <c r="L14">
        <v>1</v>
      </c>
      <c r="M14">
        <v>1</v>
      </c>
    </row>
    <row r="15" spans="2:13" x14ac:dyDescent="0.3">
      <c r="B15" t="s">
        <v>5</v>
      </c>
      <c r="C15">
        <v>0</v>
      </c>
      <c r="D15">
        <v>2</v>
      </c>
      <c r="E15">
        <v>3</v>
      </c>
      <c r="F15">
        <v>4</v>
      </c>
      <c r="G15">
        <v>4</v>
      </c>
      <c r="H15">
        <v>1</v>
      </c>
      <c r="I15">
        <v>0</v>
      </c>
      <c r="J15">
        <v>0</v>
      </c>
      <c r="K15">
        <v>1</v>
      </c>
      <c r="L15">
        <v>1</v>
      </c>
      <c r="M15">
        <v>1</v>
      </c>
    </row>
    <row r="16" spans="2:13" x14ac:dyDescent="0.3">
      <c r="B16" t="s">
        <v>6</v>
      </c>
      <c r="C16">
        <v>1</v>
      </c>
      <c r="D16">
        <v>3</v>
      </c>
      <c r="E16">
        <v>4</v>
      </c>
      <c r="F16">
        <v>5</v>
      </c>
      <c r="G16">
        <v>5</v>
      </c>
      <c r="H16">
        <v>2</v>
      </c>
      <c r="I16">
        <v>0</v>
      </c>
      <c r="J16">
        <v>1</v>
      </c>
      <c r="K16">
        <v>1</v>
      </c>
      <c r="L16">
        <v>2</v>
      </c>
      <c r="M16">
        <v>1</v>
      </c>
    </row>
    <row r="18" spans="2:7" x14ac:dyDescent="0.3">
      <c r="D18" t="s">
        <v>3</v>
      </c>
      <c r="E18" t="s">
        <v>4</v>
      </c>
      <c r="F18" t="s">
        <v>5</v>
      </c>
      <c r="G18" t="s">
        <v>6</v>
      </c>
    </row>
    <row r="19" spans="2:7" ht="28.8" x14ac:dyDescent="0.3">
      <c r="B19" t="s">
        <v>22</v>
      </c>
      <c r="C19" s="6" t="s">
        <v>39</v>
      </c>
      <c r="D19">
        <v>0</v>
      </c>
      <c r="E19">
        <v>0</v>
      </c>
      <c r="F19">
        <v>8</v>
      </c>
      <c r="G19">
        <v>16</v>
      </c>
    </row>
    <row r="20" spans="2:7" ht="28.8" x14ac:dyDescent="0.3">
      <c r="B20" t="s">
        <v>38</v>
      </c>
      <c r="C20" s="6" t="s">
        <v>39</v>
      </c>
      <c r="D20">
        <v>0</v>
      </c>
      <c r="E20">
        <v>4</v>
      </c>
      <c r="F20">
        <v>8</v>
      </c>
      <c r="G20">
        <v>16</v>
      </c>
    </row>
    <row r="21" spans="2:7" ht="28.8" x14ac:dyDescent="0.3">
      <c r="B21" t="s">
        <v>23</v>
      </c>
      <c r="C21" s="6" t="s">
        <v>39</v>
      </c>
      <c r="D21">
        <v>0</v>
      </c>
      <c r="E21">
        <v>1</v>
      </c>
      <c r="F21">
        <v>5</v>
      </c>
      <c r="G21">
        <v>10</v>
      </c>
    </row>
    <row r="22" spans="2:7" ht="28.8" x14ac:dyDescent="0.3">
      <c r="B22" t="s">
        <v>24</v>
      </c>
      <c r="C22" s="6" t="s">
        <v>102</v>
      </c>
      <c r="D22">
        <v>0</v>
      </c>
      <c r="E22">
        <v>4000</v>
      </c>
      <c r="F22">
        <v>8000</v>
      </c>
      <c r="G22">
        <v>8000</v>
      </c>
    </row>
    <row r="23" spans="2:7" x14ac:dyDescent="0.3">
      <c r="B23" t="s">
        <v>101</v>
      </c>
    </row>
  </sheetData>
  <sheetProtection algorithmName="SHA-512" hashValue="Opil0Y91QiRvqByUmVJoIIzig+qNy8lcOMjwcbGc60ujrDKfid0x9QdMfedtcGZb+3ubh53mJJ0zCMmo8EkgNw==" saltValue="budlxfz2HtfoG0ilo2s3LQ==" spinCount="100000" sheet="1" objects="1" scenarios="1"/>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COMPLIANCE FORM</vt:lpstr>
      <vt:lpstr>Ref - Zone Districts</vt:lpstr>
      <vt:lpstr>Ref - Lighting Context 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2022-08-24T03:11:52Z</dcterms:created>
  <dcterms:modified xsi:type="dcterms:W3CDTF">2023-08-02T17:19:59Z</dcterms:modified>
</cp:coreProperties>
</file>