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20" windowWidth="11100" windowHeight="5320" tabRatio="729" activeTab="0"/>
  </bookViews>
  <sheets>
    <sheet name="Page 1-Customer Info" sheetId="1" r:id="rId1"/>
    <sheet name="Page 2-Lighting" sheetId="2" r:id="rId2"/>
    <sheet name="Page 3-HVAC" sheetId="3" r:id="rId3"/>
    <sheet name="Page 4-Envelope" sheetId="4" r:id="rId4"/>
    <sheet name="Page 5-Food Service" sheetId="5" r:id="rId5"/>
    <sheet name="Page 6-Grocery" sheetId="6" r:id="rId6"/>
    <sheet name="Page 7-Office Equip" sheetId="7" r:id="rId7"/>
    <sheet name="Page 8-Motors" sheetId="8" r:id="rId8"/>
    <sheet name="Page 9-Custom" sheetId="9" r:id="rId9"/>
    <sheet name="Page 10-Request for Payment" sheetId="10" r:id="rId10"/>
  </sheets>
  <definedNames>
    <definedName name="_xlfn.BAHTTEXT" hidden="1">#NAME?</definedName>
    <definedName name="AnnualLightingHours">'Page 2-Lighting'!$C$20</definedName>
    <definedName name="ApprovalCode">'Page 1-Customer Info'!$B$5</definedName>
    <definedName name="CompanyName">'Page 1-Customer Info'!$B$24</definedName>
    <definedName name="ElectricUtility">'Page 1-Customer Info'!$C$35</definedName>
    <definedName name="facilitytype">'Page 1-Customer Info'!$G$35</definedName>
    <definedName name="Lightingsoacetypes">'Page 2-Lighting'!$O$21:$O$53</definedName>
    <definedName name="LightingSpaceTypes">'Page 2-Lighting'!$O$21:$O$53</definedName>
    <definedName name="MotorHPList">'Page 8-Motors'!$A$11:$A$29</definedName>
    <definedName name="MotorRPMList">'Page 8-Motors'!$B$9:$D$9</definedName>
    <definedName name="Part1Top" localSheetId="0">'Page 1-Customer Info'!$A$1</definedName>
    <definedName name="_xlnm.Print_Area" localSheetId="0">'Page 1-Customer Info'!$A$1:$J$47</definedName>
    <definedName name="_xlnm.Print_Area" localSheetId="9">'Page 10-Request for Payment'!$A$1:$J$78</definedName>
    <definedName name="_xlnm.Print_Area" localSheetId="1">'Page 2-Lighting'!$A$1:$K$65</definedName>
    <definedName name="_xlnm.Print_Area" localSheetId="2">'Page 3-HVAC'!$A$1:$N$46</definedName>
    <definedName name="_xlnm.Print_Area" localSheetId="4">'Page 5-Food Service'!$A$1:$F$35</definedName>
    <definedName name="_xlnm.Print_Area" localSheetId="5">'Page 6-Grocery'!$A$1:$G$32</definedName>
    <definedName name="_xlnm.Print_Area" localSheetId="6">'Page 7-Office Equip'!$A$1:$F$19</definedName>
    <definedName name="_xlnm.Print_Area" localSheetId="7">'Page 8-Motors'!$A$1:$J$47</definedName>
    <definedName name="_xlnm.Print_Area" localSheetId="8">'Page 9-Custom'!$A$1:$M$81</definedName>
    <definedName name="Select_your_facility_type">'Page 1-Customer Info'!#REF!</definedName>
    <definedName name="Select_your_local_utility">'Page 1-Customer Info'!$G$35</definedName>
    <definedName name="Z_0E33CC5E_2173_44FF_BE56_8EE357E6004D_.wvu.PrintArea" localSheetId="0" hidden="1">'Page 1-Customer Info'!$A$1:$J$47</definedName>
    <definedName name="Z_0E33CC5E_2173_44FF_BE56_8EE357E6004D_.wvu.PrintArea" localSheetId="9" hidden="1">'Page 10-Request for Payment'!$A$1:$J$78</definedName>
    <definedName name="Z_0E33CC5E_2173_44FF_BE56_8EE357E6004D_.wvu.PrintArea" localSheetId="1" hidden="1">'Page 2-Lighting'!$A$1:$K$65</definedName>
    <definedName name="Z_0E33CC5E_2173_44FF_BE56_8EE357E6004D_.wvu.PrintArea" localSheetId="2" hidden="1">'Page 3-HVAC'!$A$1:$N$47</definedName>
    <definedName name="Z_0E33CC5E_2173_44FF_BE56_8EE357E6004D_.wvu.PrintArea" localSheetId="4" hidden="1">'Page 5-Food Service'!$A$1:$F$35</definedName>
    <definedName name="Z_0E33CC5E_2173_44FF_BE56_8EE357E6004D_.wvu.PrintArea" localSheetId="5" hidden="1">'Page 6-Grocery'!$A$1:$G$32</definedName>
    <definedName name="Z_0E33CC5E_2173_44FF_BE56_8EE357E6004D_.wvu.PrintArea" localSheetId="6" hidden="1">'Page 7-Office Equip'!$A$1:$F$19</definedName>
    <definedName name="Z_0E33CC5E_2173_44FF_BE56_8EE357E6004D_.wvu.PrintArea" localSheetId="7" hidden="1">'Page 8-Motors'!$A$1:$J$47</definedName>
    <definedName name="Z_0E33CC5E_2173_44FF_BE56_8EE357E6004D_.wvu.PrintArea" localSheetId="8" hidden="1">'Page 9-Custom'!$A$1:$M$81</definedName>
    <definedName name="Z_EA749CA0_BA75_421F_A6D6_D31993754F26_.wvu.PrintArea" localSheetId="0" hidden="1">'Page 1-Customer Info'!$A$1:$J$47</definedName>
  </definedNames>
  <calcPr fullCalcOnLoad="1"/>
</workbook>
</file>

<file path=xl/sharedStrings.xml><?xml version="1.0" encoding="utf-8"?>
<sst xmlns="http://schemas.openxmlformats.org/spreadsheetml/2006/main" count="729" uniqueCount="557">
  <si>
    <t>Page 4:  Building Envelope Incentive Worksheet</t>
  </si>
  <si>
    <t>ENERGY STAR
(&gt; 70% HL Eff)</t>
  </si>
  <si>
    <t>Electric Griddles</t>
  </si>
  <si>
    <t>Combination Ovens - Electric</t>
  </si>
  <si>
    <t>Convection Ovens - Electric</t>
  </si>
  <si>
    <t xml:space="preserve">Incentive funds will be reserved for no later than 45 days beyond the estimated completion date listed in this applicationnor beyond 45 days of building ocupancy for new construction/major renovation projects (specified on page 1). Participant shall notify Platte River immediately if completion of the project is expected to be delayed beyond this time. Platte River will seek to provide funds for projects that are delayed, provided such funds are available, but is under no obligation to do so.    </t>
  </si>
  <si>
    <r>
      <rPr>
        <sz val="10"/>
        <rFont val="Wingdings"/>
        <family val="0"/>
      </rPr>
      <t xml:space="preserve">l </t>
    </r>
    <r>
      <rPr>
        <sz val="10"/>
        <rFont val="Arial"/>
        <family val="0"/>
      </rPr>
      <t>The project is a commercial building served by one of the four following electric utilities:  Town of Estes Park Light &amp; Power Department (970-577-
      3583), Fort Collins Utilities (970-221-6700), Longmont Power &amp; Communications (303-651-8386), Loveland Water &amp; Power (970-962-3000).</t>
    </r>
  </si>
  <si>
    <t>Major remodel</t>
  </si>
  <si>
    <t>Build to lease</t>
  </si>
  <si>
    <t>Loveland Water and Power</t>
  </si>
  <si>
    <t>Health Care</t>
  </si>
  <si>
    <t>Replace/upgrade building systems</t>
  </si>
  <si>
    <t>Build to sell</t>
  </si>
  <si>
    <t>Town of Estes Park</t>
  </si>
  <si>
    <t>Hotel/Motel</t>
  </si>
  <si>
    <t>Government</t>
  </si>
  <si>
    <t>Industrial</t>
  </si>
  <si>
    <t>Office</t>
  </si>
  <si>
    <t>Outdoor</t>
  </si>
  <si>
    <t>Restaurant</t>
  </si>
  <si>
    <t>Retail</t>
  </si>
  <si>
    <t>School</t>
  </si>
  <si>
    <t>Warehouse/Storage</t>
  </si>
  <si>
    <t>Other</t>
  </si>
  <si>
    <t>SS</t>
  </si>
  <si>
    <t>SP</t>
  </si>
  <si>
    <t>PTAC/HP</t>
  </si>
  <si>
    <t>** Annual cost and kWh savings are based on typical restaurant savings and average energy rate of $0.06 per kWh. Results may vary for your business.</t>
  </si>
  <si>
    <t>Vent Hood Controls with VFD fans &amp; sensors -- per hp
                    (enter total exhaust fan horsepower)</t>
  </si>
  <si>
    <t>Yes</t>
  </si>
  <si>
    <t>No</t>
  </si>
  <si>
    <t>total cost savings</t>
  </si>
  <si>
    <t>Total Cost Savings</t>
  </si>
  <si>
    <t>Baseline Efficiency Assumptions for Savings Calculations (EPACT 1992)</t>
  </si>
  <si>
    <t>Motor Operation</t>
  </si>
  <si>
    <t>Load</t>
  </si>
  <si>
    <t>Annual</t>
  </si>
  <si>
    <t>Factor</t>
  </si>
  <si>
    <t>Hours</t>
  </si>
  <si>
    <t>Effective energy rate ($/kWh)</t>
  </si>
  <si>
    <t>Baseline Efficiency</t>
  </si>
  <si>
    <t>Dmd Savings (kW)</t>
  </si>
  <si>
    <t>TOTAL kW Saved</t>
  </si>
  <si>
    <t>PROPOSED MEASURE</t>
  </si>
  <si>
    <t>Cooling - Chiller Replacement</t>
  </si>
  <si>
    <t>Cooling - Package AC Replacement</t>
  </si>
  <si>
    <t>Cooling - Other (please describe)</t>
  </si>
  <si>
    <t>Lighting - Efficiency (lamps/ballasts)</t>
  </si>
  <si>
    <t>Ventilation System Conversion to VAV</t>
  </si>
  <si>
    <t>High-efficiency Motors</t>
  </si>
  <si>
    <t>High-efficiency Motors w/ VSD</t>
  </si>
  <si>
    <t>Industrial Process (please describe)</t>
  </si>
  <si>
    <t>Other (please describe)</t>
  </si>
  <si>
    <t>PTAC</t>
  </si>
  <si>
    <t>PTHP</t>
  </si>
  <si>
    <t xml:space="preserve">&lt;5&gt; Smart Defrost Controls (on Walk-In Freezer Condensing Unit) Eligible technologies will use mini-processors to sense temperature and pressure and monitor the system operation to determine the need for a defrost cycle for the condensiong unit and provide electric defrost only when necessary. (Systems typically work with existing timed defrost controllers). Eligible technologies must be electric defrost controllers and have third party operational verification testing data. Rebate requires controlling a condensing unit horsepower rating of 1.5 or greater. </t>
  </si>
  <si>
    <t>$4 per ton for each 0.1 EER over 12.0</t>
  </si>
  <si>
    <t>kW Saved</t>
  </si>
  <si>
    <t xml:space="preserve">Page 3:  Cooling Incentive Worksheet </t>
  </si>
  <si>
    <t>&lt;2&gt; LED Case Lighting: Must install LED case lighting. New case equipped with LED lighting.  Rebate applies to new display cases and/or new walk-in or warehouse coolers/freezers.</t>
  </si>
  <si>
    <t>&lt;3&gt; EC Motors in Display Cases: Must be equipped with electronically commutated motor (ECM) in display case coolers/freezers. Rebate only applies to enew display cases for less than one horsepower motors.</t>
  </si>
  <si>
    <t>&lt;4&gt; EC Motors on compressor head fans: Compressor head-cooling fan motors must be equipped with electronically commutated motors. Motor must take place on low temperature reciprocating compressor systems with existing 35-55 watt output head fan motors. Compressors must be an integral part of a refrigeration system with a remote air cooled or evaporative condenser. New ECM motor may not be more than 20 watt output. Must install, or be equipped with, electronically commutated motor (ECM) on compressor head fans in walk in coolers.</t>
  </si>
  <si>
    <t>Smart Defrost Control Walk-in Freezer &lt;5&gt;</t>
  </si>
  <si>
    <t>Outside Air Economizers for Walk-ins &lt;6&gt;
(walk-in must be ≥ 1,000 cu. ft.)</t>
  </si>
  <si>
    <t>&lt;6&gt; Outside Air economizers ≥ 1,000 cu. ft. Outdoor air and exhaust dampers must close automatically for summer isolation. Eligible equipment must be capable of using outdoor air of less than 34° F while maintaining the set point of the cooler. Please include the walk-in box volume (L x W x H) dimensions. Walk-in coolers smaller than 1,000 cu. ft. are not eligible for rebates.</t>
  </si>
  <si>
    <t>Bathroom Motion Sensor Nightlight</t>
  </si>
  <si>
    <t>Vending Machine Occupancy Control</t>
  </si>
  <si>
    <t xml:space="preserve">     requirement listed in the Lighting Incentive Worksheet below.</t>
  </si>
  <si>
    <t>2.  The Proposed Lighting LPD (W/sq ft) must be 5% lower than the  ASHRAE Lighting LPD (90.1 - 2004 Building Area Method) design</t>
  </si>
  <si>
    <t xml:space="preserve">Lighting Incentive Worksheet for Building Area Method designs </t>
  </si>
  <si>
    <t>Proposed Lighting LPD 5% below ASHRAE LPD?</t>
  </si>
  <si>
    <t>Select your ownership/tenant plan</t>
  </si>
  <si>
    <t>Fort Collins Utilities</t>
  </si>
  <si>
    <t>Educational</t>
  </si>
  <si>
    <t>New construction</t>
  </si>
  <si>
    <t>Owner occupied</t>
  </si>
  <si>
    <t>Longmont Power &amp; Communications</t>
  </si>
  <si>
    <t>High Efficiency Equipment</t>
  </si>
  <si>
    <t># Unit</t>
  </si>
  <si>
    <t>Total Potential Rebate</t>
  </si>
  <si>
    <t>New Compact Fluorescent Desk Lamp 
(32 Watt Max)</t>
  </si>
  <si>
    <t>New ENERGY STAR LED Desk Lamp</t>
  </si>
  <si>
    <t>New ENERGY STAR LED Undercabinet Fixture</t>
  </si>
  <si>
    <t>Screw in ENERGY STAR Compact Fluoresent 
Lamp (CFL)</t>
  </si>
  <si>
    <t>New Fluorescent Torchiere - 55 Watt Max</t>
  </si>
  <si>
    <t>New ENERGY STAR v4.0 desktop or side computer</t>
  </si>
  <si>
    <t>Proposed New Controls</t>
  </si>
  <si>
    <t>Smart Strip Energy Efficient Surge Protector*</t>
  </si>
  <si>
    <t>Plug Strip w/ Motion Sensor</t>
  </si>
  <si>
    <t>* Check manufacturer specifications to verify that surge protector is appropriate for equipment and appliances that will be plugged in and will protect at lower power surges.</t>
  </si>
  <si>
    <t>** Annual cost and kWh savings are based on a typical office application and average energy rate of $0.05 per kWh. Results may vary for your business.</t>
  </si>
  <si>
    <t>Total Annual Electric Cost Savings</t>
  </si>
  <si>
    <t>kWh savings per unit</t>
  </si>
  <si>
    <t>Total kWh savings</t>
  </si>
  <si>
    <t>Cost savings per unit</t>
  </si>
  <si>
    <t>To be eligible to participate, all new T8 electronic ballasts must be "high efficiency" and meet or exceed the Ballast Efficacy Factor as described for ballasts in the CEE High Performance T8 specification.</t>
  </si>
  <si>
    <t>3.  Space by Space Method is allowed but the applicant must use the Custom Rebate Method application on page 9.</t>
  </si>
  <si>
    <t>Page 7:  High Efficiency Office Equipment &amp; Controls</t>
  </si>
  <si>
    <t>PTAC/PTHP Controls Incentive</t>
  </si>
  <si>
    <t>Rebate per unit</t>
  </si>
  <si>
    <t>Enter # of units</t>
  </si>
  <si>
    <t>Motion Sensor or Card Lock control with setback capabilities</t>
  </si>
  <si>
    <r>
      <rPr>
        <sz val="10"/>
        <rFont val="Wingdings"/>
        <family val="0"/>
      </rPr>
      <t xml:space="preserve">l </t>
    </r>
    <r>
      <rPr>
        <sz val="10"/>
        <rFont val="Arial"/>
        <family val="0"/>
      </rPr>
      <t>Other terms and conditions apply as stated on pages 10a and 10b, Request for Payment Form.</t>
    </r>
  </si>
  <si>
    <t>Electric Efficiency Program (v1.0)</t>
  </si>
  <si>
    <t>LED Case Lighting &lt;2&gt;</t>
  </si>
  <si>
    <t>EC Motors in Display Cases &lt;3&gt;
(electronically commutated motor)</t>
  </si>
  <si>
    <t>EC Motor compressor head cooling fans &lt;4&gt;</t>
  </si>
  <si>
    <t xml:space="preserve">&lt;1&gt; Zero Energy Doors w/ No ASH: Triple-pane glass with either heat-reflective treated glass or gas fill and are equipped with no anti-sweat heaters for reach-in glass doors coolers and freezer installations. </t>
  </si>
  <si>
    <t xml:space="preserve">2.     Complete page 1 and the appropriate worksheets on pages 2 through 9 that apply to your project to determine the potential incentive amount.  The 
        total incentive amounts are then summarized on page 10a. </t>
  </si>
  <si>
    <t>a.    Any projects that show a total incentive over $1,000 or include custom incentives (from page 9) require pre-approval, as described in step 3.</t>
  </si>
  <si>
    <t xml:space="preserve">5.     Resubmit the entire completed application along with all required documentation (as described on page 10b) to Platte River with the appropriate
        signatures (also on page 10b).  Due to the signature requirement, this must be done via mail. </t>
  </si>
  <si>
    <t>Total potential incentive on page 10 must be a minimum of $50 to qualify. Rebate cannot exceed project cost.</t>
  </si>
  <si>
    <t>Page 6:  High Efficiency Grocery Equipment</t>
  </si>
  <si>
    <t>High Efficiency Equipment Upgrades</t>
  </si>
  <si>
    <t>Demand Savings (kW)</t>
  </si>
  <si>
    <t>Unit of measure</t>
  </si>
  <si>
    <t>Potential Incentive</t>
  </si>
  <si>
    <t>door</t>
  </si>
  <si>
    <t>lamp</t>
  </si>
  <si>
    <t>motor</t>
  </si>
  <si>
    <t>Night Covers – Vertical or Horizontal</t>
  </si>
  <si>
    <t>ln ft case</t>
  </si>
  <si>
    <t>Hardwired T8 Fixture in Walk-in cooler/freezer</t>
  </si>
  <si>
    <t>Screw-in CFL for walk-in cooler/freezer</t>
  </si>
  <si>
    <t>controller</t>
  </si>
  <si>
    <t>Unit</t>
  </si>
  <si>
    <t>Zero Energy Doors w/ No ASH &lt;1&gt;</t>
  </si>
  <si>
    <t>* Annual cost and kWh savings are based on a typical grocery store savings and average energy rate of $0.06 per kWh. Results may vary for your business.</t>
  </si>
  <si>
    <t>Custom Incentives may be available for the following measures</t>
  </si>
  <si>
    <t>Required Specifications &amp; Definitions</t>
  </si>
  <si>
    <t>Total Annual Electric Cost Savings*</t>
  </si>
  <si>
    <t>Total kWh Savings/yr</t>
  </si>
  <si>
    <t>kWhSavings /unit</t>
  </si>
  <si>
    <t>High efficiency compressors, Evaporative &amp; Air Cooled Condensers, Floating Head Pressure and Suction Pressure; Air-Cooled to Evap-Cooled Condenser conversion on multiplex or stand alone systems; VFDs for motors and compressors.</t>
  </si>
  <si>
    <t>Custom rebates require pre-approval and are based on $0.10 per Annual kWh Savings. Enter custom incentive on "Page 9-Custom" of this workbook.</t>
  </si>
  <si>
    <t>New Reach-in or Open Display Cases</t>
  </si>
  <si>
    <t>New Walk-in or Refrigerated Warehouse</t>
  </si>
  <si>
    <t>Minimum Required Citeria Reference</t>
  </si>
  <si>
    <t>Website Links</t>
  </si>
  <si>
    <t>Description</t>
  </si>
  <si>
    <t>CEE Tier 2 &amp; 3 Qualifying Model Lists
www.cee1.org</t>
  </si>
  <si>
    <t>CEE1 Com. Kitchen Equip.
 Homepage</t>
  </si>
  <si>
    <t>Visit the Consortium for Energy Efficiency (CEE) website for a list of all CEE qualifying kitchen equipment; including Tiers 2 &amp; 3.</t>
  </si>
  <si>
    <t>ENERGY STAR Qualifying Model Lists</t>
  </si>
  <si>
    <t>ENERGY STAR Commercial Food Service and Other Equipment</t>
  </si>
  <si>
    <t>ENERGY STAR website homepage to find ENERGY STAR qualifying equipment models</t>
  </si>
  <si>
    <t>ASTM (American Society of Testing Materials) 
Heavy Load Efficiency Ratings</t>
  </si>
  <si>
    <t>Performance Testing for Food Service Appliances</t>
  </si>
  <si>
    <t>Food Service Tech. Center (FSTC) operated by Fisher-Nickel Inc., performs commercial kitchen appliance performance &amp; efficiency testing; including listing heavy load efficiency ratings for electric griddles and ovens</t>
  </si>
  <si>
    <t>General Energy Savings Calculators
www.fishnick.com</t>
  </si>
  <si>
    <t>Energy Efficient 
Kitchen Savings Estimator</t>
  </si>
  <si>
    <t>Interactive FSTC commercial kitchen equipment interactive web-based tool, displaying estimated savings with energy efficient appliances.</t>
  </si>
  <si>
    <t>* Rebates are avaialable for NEW equipment only. Used or refurbished equipment does not qualify.</t>
  </si>
  <si>
    <t>kWh savings</t>
  </si>
  <si>
    <t>Total kWh Savings</t>
  </si>
  <si>
    <t>Annual cost savings/Unit</t>
  </si>
  <si>
    <t>Average Annual Electric Cost Savings**</t>
  </si>
  <si>
    <t>Page 10a:  Request For Payment Form</t>
  </si>
  <si>
    <t>Page 10b:  Request For Payment Form (Continued)</t>
  </si>
  <si>
    <t>Page 9a-Custom Incentive Worksheet</t>
  </si>
  <si>
    <t>Page 9b-Custom Incentive Worksheet</t>
  </si>
  <si>
    <t>Page 8:  Motor Incentive Worksheet</t>
  </si>
  <si>
    <t>By submitting this application, I hereby acknowledge that I have read, understand and agree to be bound by all requirements, terms, and conditions of the Electric Efficiency Program including, but not limited to, the Terms and Conditions set forth on pages 10a and 10b, Request for Payment Form.</t>
  </si>
  <si>
    <t>Speed (RPM)</t>
  </si>
  <si>
    <t>Incentive per motor</t>
  </si>
  <si>
    <t>Total Annual kWh Saved</t>
  </si>
  <si>
    <t>Total Annual Dollars Saved</t>
  </si>
  <si>
    <t>Annual Electric Cost Savings</t>
  </si>
  <si>
    <t>Incentive Calculations</t>
  </si>
  <si>
    <t>Your results may vary.</t>
  </si>
  <si>
    <t>xxxxxxxx</t>
  </si>
  <si>
    <t>Your Incentive*</t>
  </si>
  <si>
    <r>
      <rPr>
        <b/>
        <sz val="10"/>
        <rFont val="Arial"/>
        <family val="2"/>
      </rPr>
      <t xml:space="preserve">Note: </t>
    </r>
    <r>
      <rPr>
        <sz val="10"/>
        <rFont val="Arial"/>
        <family val="0"/>
      </rPr>
      <t>Savings estimates are in comparison to a new, standard-efficiency motor and are based on common motor operating conditions.</t>
    </r>
  </si>
  <si>
    <r>
      <t xml:space="preserve">1.   All qualifying "unitary air conditioner or heat pumps" must be of a </t>
    </r>
    <r>
      <rPr>
        <b/>
        <sz val="10"/>
        <rFont val="Arial"/>
        <family val="2"/>
      </rPr>
      <t>3 phase</t>
    </r>
    <r>
      <rPr>
        <sz val="10"/>
        <rFont val="Arial"/>
        <family val="0"/>
      </rPr>
      <t xml:space="preserve"> electrical rating.  Only "packaged terminal air conditioner or heat pump PTAC/PTHP)" units qualify as 1 phase electrical rated
      equipment.</t>
    </r>
  </si>
  <si>
    <t>2.  The annual dollars saved is based on the estimated kWh's saved pertinant to the efficiencey of the equipment selected and number installed.  Your actual savings may be more or less depending on
      occupant use, temperature settings, building type, air delivery system, ventilation control and needs, and weather conditions experienced.</t>
  </si>
  <si>
    <t>I authorize Platte River Power Authority to make the incentive payment to the identified party above.</t>
  </si>
  <si>
    <t>Food Service</t>
  </si>
  <si>
    <t>Office Equipment</t>
  </si>
  <si>
    <t/>
  </si>
  <si>
    <t>Page 5:  High Efficiency Food Service Equipment</t>
  </si>
  <si>
    <t>New High Efficiency Equipment*</t>
  </si>
  <si>
    <t>Rebate per Unit</t>
  </si>
  <si>
    <t># Units</t>
  </si>
  <si>
    <t>Total Potential incentive</t>
  </si>
  <si>
    <t>Minimum Required Citeria
(see below for qualifying models)</t>
  </si>
  <si>
    <t>High Efficiency Ice Machine (kWh/100 lbs of ice)</t>
  </si>
  <si>
    <t>CEE Tier 3</t>
  </si>
  <si>
    <t>CEE Tier 2 or
ENERGY STAR</t>
  </si>
  <si>
    <t>Insulated Hot Food Holding Cabinets (min 7 cu ft)</t>
  </si>
  <si>
    <t>ENERGY STAR</t>
  </si>
  <si>
    <t>Reach-In Refrigerators &amp; Freezers (&lt; 19 ft3)
(glass or solid door)</t>
  </si>
  <si>
    <t>CEE Tier 2</t>
  </si>
  <si>
    <t>Reach-In Refrigerators &amp; Freezers (19 - 30 ft3)
(glass or solid door)</t>
  </si>
  <si>
    <t>Reach-In Refrigerators &amp; Freezers (31 - 60 ft3)
(glass or solid door)</t>
  </si>
  <si>
    <t>Reach-In Refrigerators &amp; Freezers (61 - 90 ft3)
(glass or solid door)</t>
  </si>
  <si>
    <t>Electric Steamers</t>
  </si>
  <si>
    <t>Electric Fryers</t>
  </si>
  <si>
    <t>Vent Hood Controls</t>
  </si>
  <si>
    <t>Recommend using qualified installer</t>
  </si>
  <si>
    <t xml:space="preserve">     Are there MUA fans controlled? (select yes or no)</t>
  </si>
  <si>
    <t>3.  For metal roofs, level 1 or level 2, the recommended construction is standing-seam roofs with two layers of blanket insulation.  The first layer is draped 
     perpendicularly over the purlins with enough looseness to allow the second insulation layer to be laid above it, parallel to the purlins.</t>
  </si>
  <si>
    <t>4.  For steel framed walls, level 1 or level 2, the first layer is installed continuously perpendicular to the exterior of the girts and is compressed as the metal
     skin is attached to the girts.  The second layer of insulation is installed parallel to the girts within the framing cavity.</t>
  </si>
  <si>
    <t>5.  Savings in energy expressed in kWh and kW amounts are based on energy models for a reference building which may be different from yours.  A more
     representative energy savings amount should fall in the range of 80 to 120 percent of the stated energy savings .</t>
  </si>
  <si>
    <t>Annual kWh Savings**</t>
  </si>
  <si>
    <t>Enter Annual Lighting Hours</t>
  </si>
  <si>
    <t>** Annual kWh savings are based on typical energy savings for that application. Results may vary for your business.</t>
  </si>
  <si>
    <r>
      <rPr>
        <sz val="10"/>
        <rFont val="Wingdings"/>
        <family val="0"/>
      </rPr>
      <t>l</t>
    </r>
    <r>
      <rPr>
        <sz val="10"/>
        <rFont val="Arial"/>
        <family val="0"/>
      </rPr>
      <t xml:space="preserve">   Any project with a total potential incentive        
      over $1,000
</t>
    </r>
    <r>
      <rPr>
        <sz val="10"/>
        <rFont val="Wingdings"/>
        <family val="0"/>
      </rPr>
      <t xml:space="preserve">l </t>
    </r>
    <r>
      <rPr>
        <sz val="10"/>
        <rFont val="Arial"/>
        <family val="0"/>
      </rPr>
      <t>All projects with custom measures</t>
    </r>
  </si>
  <si>
    <t>Complete this application to apply for funding for energy efficiency upgrades to new construction buildings or major renovations of existing structures. Prescriptive incentives are provided for a variety of building system upgrades, such as: improved insulation, windows, daylight controls, lighting efficiency, cooling efficiency, and downsizing of cooling equipment.  Prescriptive incentives are based on improving beyond the requirements set by ASHRAE Standard 90.1-2004, "Energy Standard for Buildings Except Low-Rise Residential Buildings."</t>
  </si>
  <si>
    <t>Actual</t>
  </si>
  <si>
    <t>Calculated with constants</t>
  </si>
  <si>
    <t>H/yr</t>
  </si>
  <si>
    <t>$/kWh</t>
  </si>
  <si>
    <t>Annual Dollars Saved</t>
  </si>
  <si>
    <t>Annual kWh Saved</t>
  </si>
  <si>
    <t>Estimated Annual Energy Savings</t>
  </si>
  <si>
    <t>KW Demand Saved</t>
  </si>
  <si>
    <t>Customer name:</t>
  </si>
  <si>
    <t>Open Drip-Proof (ODP)</t>
  </si>
  <si>
    <t>Totally Enclosed Fan-Cooled (TEFC)</t>
  </si>
  <si>
    <t>Poles</t>
  </si>
  <si>
    <t>I have read, understood, agree and possess the authority to execute this Request for Payment Form in relation to the terms and conditions listed above.</t>
  </si>
  <si>
    <t xml:space="preserve">In compliance with C.R.S. §24-76.5-101, et seq., as amended, Platte River will require Participants who are individuals or sole proprietors (i.e., not corporations or partnerships) applying for incentives to prove their lawful presence in the United States. To do so, the Participant will be required to provide identification set forth in C.R.S. §24-76.5-103(4), as amended, in addition to a signed affidavit indicating his or her lawful presence. Platte River cannot provide an incentive to a Participant who is unwilling or unable to meet this requirement. </t>
  </si>
  <si>
    <t>4.  To be eligible to participate, all T8 electronic ballasts must be "high efficiency" and meet or exceed the Ballast Efficacy Factor as described for</t>
  </si>
  <si>
    <t>Total</t>
  </si>
  <si>
    <r>
      <t>1.  Lighting retrofits in existing buildings where no significant building renovation is being performed should refer to the LIGHTEN</t>
    </r>
    <r>
      <rPr>
        <b/>
        <sz val="12"/>
        <rFont val="Arial"/>
        <family val="2"/>
      </rPr>
      <t>UP</t>
    </r>
    <r>
      <rPr>
        <sz val="10"/>
        <rFont val="Arial"/>
        <family val="0"/>
      </rPr>
      <t xml:space="preserve"> Program Application:</t>
    </r>
  </si>
  <si>
    <t>Baseline Measure</t>
  </si>
  <si>
    <t>Energy Efficient Measure</t>
  </si>
  <si>
    <t>Cost difference between baseline measure and energy efficient measure</t>
  </si>
  <si>
    <t>Platte River will not support projects in cases where simple payback between the baseline and the difference in cost to upgrade to the high efficiency alternative is greater than the products performance life.</t>
  </si>
  <si>
    <t>1.  Insulation and product rating must be met or exceeded to qualify, no partial improvement can be applied.</t>
  </si>
  <si>
    <t>Insert Component Area
 Square Footage</t>
  </si>
  <si>
    <t>Criteria (see Notes below)</t>
  </si>
  <si>
    <t>Notes:</t>
  </si>
  <si>
    <t>2.  The c.i. designation stands for Continuous Insulation.  This is insulated sheathing panels completely covering the exterior side of the steel framing or
     mass wall thus providing a continuous thermal break to the outside.</t>
  </si>
  <si>
    <t>Participant Acknowledgement of Terms and Conditions</t>
  </si>
  <si>
    <t>1.     Contact an engineer, consultant, vendor, contractor, or Platte River Energy Services for help with this application if needed.</t>
  </si>
  <si>
    <t>3.     To receive pre-approval, submit this unsigned application to Platte River Energy Services*.  This may be done via email, fax, or mail.  Platte River Energy
        Services will review the application, and if approved, issue you an approval code.</t>
  </si>
  <si>
    <t>4.     Complete the project.  Remember to keep proof of installation as specified on each measure incentive worksheet.</t>
  </si>
  <si>
    <t>6.     Receive the incentive check typically in four to six weeks*.</t>
  </si>
  <si>
    <t>b.    For any other projects, pre-approval is optional.  You may proceed to either step 3 or 4, depending on your confidence that you have met the
       program requirements.</t>
  </si>
  <si>
    <t xml:space="preserve">         *Platte River Energy Services may request a site visit at any time to confirm the accuracy of the application and reserves the right to determine the final eligibility and incentive 
           amount for all projects.</t>
  </si>
  <si>
    <t>Page 2:  Lighting Incentive Worksheet</t>
  </si>
  <si>
    <t>Project savings estimates (energy and demand) are used to determine the project incentive (see page 2).  Please include documentation that supports the estimated savings listed for each measure.  This should include a list of assumptions, methods, and equations used in the estimate. Attach separate sheets and/or electronic files as necessary. All savings calculations should include as much of the information listed below as possible, preferably in electronic format.</t>
  </si>
  <si>
    <t>Please complete the table below for each measure to be performed under the project.  Cells in gray are calculated automatically. The "Measure Number" and "Proposed Measures" columns reference information page 6.  The following program rules must be considered when estimating savings and incentives:</t>
  </si>
  <si>
    <t>*Incentives are calculated on the worksheets found in this spreadsheet.</t>
  </si>
  <si>
    <t xml:space="preserve">Participant agrees that participation in this program shall impose no liability on Platte River.  In consideration of receiving the incentives stated herein, Participant hereby RELEASES, WAIVES, DISCHARGES AND COVENANTS NOT TO SUE Platte River, its officers, agents, servants, or employees (hereinafter referred to as RELEASEES) from any and all liability, claims, demands, actions and causes of action whatsoever arising out of or related to any loss, damage or injury, including death that may be sustained by Participant, or any property belonging to Participant, WHETHER CAUSED BY THE NEGLIGENCE OF THE RELEASEES, OR OTHERWISE, relating to the project that is the subject of this Agreement,  the performance of the Measures, or the provision of assistance and incentive including, but not limited to, anticipated loss of profits or revenues, consequential damages, or costs related to the improper handling, storage, disposal of or exposure to substances currently or hereafter characterized as hazardous or toxic. Participant further agrees to HOLD HARMLESS RELEASEES from any loss, liability, damage or costs, including court costs and attorney fees, that may incur due to Participant’s participation in the Electric Efficiency Program, WHETHER CAUSED BY THE NEGLIGENCE OF THE RELEASEES OR OTHERWISE. Participant further hereby affirms that it is his or her express intent that this Waiver of Liability and Hold Harmless Agreement shall bind the member of Participant’s family, heirs, assigns and personal representatives and shall be deemed their RELEASE, WAIVER, DISCHARGE AND COVENANT NOT TO SUE the RELEASEES. By signing below Participant acknowledges that Participant agreed to this Waiver of Liability and Hold Harmless Agreement voluntarily as Participant’s own free act, that no oral representations, statements or inducements, apart from this Agreement, have been made, and that Participant is at least eighteen (18) years of age and fully competent and intending to be bound by same. </t>
  </si>
  <si>
    <t>A project is eligible for Electric Efficiency Program (EEP) funding if:</t>
  </si>
  <si>
    <t xml:space="preserve">Incentives are based on the projected energy savings and the estimated installation costs of the project, which may be found by Platte River, in its sole discretion, to be different from the values shown in the application. If this occurs, Platte River will provide notification of the difference and give the Participant, contractor, or vendor the opportunity to ask for a review of the findings or to remedy the discrepancy before adjusting the incentive. </t>
  </si>
  <si>
    <t xml:space="preserve">Platte River does not guarantee the estimated energy cost savings. Furthermore, Platte River makes no warranties for materials provided by or work performed by Participant’s contractors, vendors, consultants, or Participant’s own employees. Platte River is not responsible for errors in or misrepresentations of the incentive amount by contractors, consultants, or vendors. </t>
  </si>
  <si>
    <t>Participant is responsible for securing any permits for work funded through this program as required by local codes.  Participant shall comply with all applicable federal, state, and local regulations, requirements, ordinances, and statutes.</t>
  </si>
  <si>
    <t xml:space="preserve">Participant agrees to ensure that potentially hazardous or regulated wastes (e.g., PCB-containing ballasts, fluorescent lamps, high-intensity discharge lamps, etc.) are handled and disposed of in compliance with applicable federal, state, and local laws and regulations.  </t>
  </si>
  <si>
    <t>Payments provided by utilities (including Platte River) to Participants for the purchase or installation of energy conservation measures may in some circumstances be considered as (partially) taxable income by the IRS. Participants or their assigns receiving incentive payments totaling $600 or more during a program year and who are not organized as a corporation will receive a 1099-MISC from Platte River in January or February of the subsequent year. Participant, or alternate payment recipient, may wish to consult a tax advisor on this matter.</t>
  </si>
  <si>
    <t>electricefficiency@prpa.org</t>
  </si>
  <si>
    <t>Project Eligibility</t>
  </si>
  <si>
    <t>Include a completed IRS W-9 form with application for the payment recipient, found at this website:</t>
  </si>
  <si>
    <t>Unitary Air Conditioner or Heat Pump Incentive</t>
  </si>
  <si>
    <t>New Construction/Major Renovation</t>
  </si>
  <si>
    <t>Table 2:  Minimum Ballast Efficacy Factors (BEFs) for Four-Foot Fluorescent Ballasts</t>
  </si>
  <si>
    <t xml:space="preserve">Incentive </t>
  </si>
  <si>
    <t xml:space="preserve">Daylighting Incentive </t>
  </si>
  <si>
    <t>Proposed Efficiency Measures and Installation Schedule</t>
  </si>
  <si>
    <t>c.  ASHRAE Lighting Power Density (LPD) determined from Table 1 below.</t>
  </si>
  <si>
    <t>d.  Area is the floor area served by lighting that is completely controlled by photo sensors.</t>
  </si>
  <si>
    <r>
      <t>LPD
(W/sq ft)</t>
    </r>
    <r>
      <rPr>
        <vertAlign val="superscript"/>
        <sz val="12"/>
        <rFont val="Arial"/>
        <family val="2"/>
      </rPr>
      <t>c</t>
    </r>
  </si>
  <si>
    <t>e.  In cases where both general building area type and a specific building area type are listed, the specific building area type shall apply.</t>
  </si>
  <si>
    <r>
      <t>Area
(sq ft)</t>
    </r>
    <r>
      <rPr>
        <vertAlign val="superscript"/>
        <sz val="12"/>
        <rFont val="Arial"/>
        <family val="2"/>
      </rPr>
      <t>d</t>
    </r>
  </si>
  <si>
    <r>
      <t>Building Area Type</t>
    </r>
    <r>
      <rPr>
        <b/>
        <vertAlign val="superscript"/>
        <sz val="12"/>
        <rFont val="Arial"/>
        <family val="2"/>
      </rPr>
      <t>e</t>
    </r>
  </si>
  <si>
    <r>
      <t xml:space="preserve">(BF </t>
    </r>
    <r>
      <rPr>
        <b/>
        <sz val="10"/>
        <rFont val="Symbol"/>
        <family val="1"/>
      </rPr>
      <t>£</t>
    </r>
    <r>
      <rPr>
        <b/>
        <sz val="10"/>
        <rFont val="Arial"/>
        <family val="2"/>
      </rPr>
      <t xml:space="preserve"> 0.85)</t>
    </r>
  </si>
  <si>
    <r>
      <t xml:space="preserve">(0.85 &lt; BF </t>
    </r>
    <r>
      <rPr>
        <b/>
        <sz val="10"/>
        <rFont val="Symbol"/>
        <family val="1"/>
      </rPr>
      <t>£</t>
    </r>
    <r>
      <rPr>
        <b/>
        <sz val="10"/>
        <rFont val="Arial"/>
        <family val="2"/>
      </rPr>
      <t xml:space="preserve"> 1.0)</t>
    </r>
  </si>
  <si>
    <t>Measure Number</t>
  </si>
  <si>
    <t>a.</t>
  </si>
  <si>
    <t>b.</t>
  </si>
  <si>
    <t xml:space="preserve">Measure Number </t>
  </si>
  <si>
    <t>Proposed Measures
(select from list and describe in more detail in section below)</t>
  </si>
  <si>
    <t>Projected Installation Start Date</t>
  </si>
  <si>
    <t>Projected Installation
Completion Date</t>
  </si>
  <si>
    <r>
      <t xml:space="preserve">The </t>
    </r>
    <r>
      <rPr>
        <b/>
        <sz val="10"/>
        <rFont val="Arial"/>
        <family val="2"/>
      </rPr>
      <t xml:space="preserve">Actual Incentive </t>
    </r>
    <r>
      <rPr>
        <sz val="10"/>
        <rFont val="Arial"/>
        <family val="0"/>
      </rPr>
      <t xml:space="preserve">is the lesser of the </t>
    </r>
    <r>
      <rPr>
        <b/>
        <sz val="10"/>
        <rFont val="Arial"/>
        <family val="2"/>
      </rPr>
      <t>Nominal Incentive</t>
    </r>
    <r>
      <rPr>
        <sz val="10"/>
        <rFont val="Arial"/>
        <family val="0"/>
      </rPr>
      <t xml:space="preserve"> and the two following incentive caps:</t>
    </r>
  </si>
  <si>
    <t>Annual energy and demand cost savings estimate</t>
  </si>
  <si>
    <t>Base
EER</t>
  </si>
  <si>
    <t>High
Btuh</t>
  </si>
  <si>
    <t>Base
Rebate</t>
  </si>
  <si>
    <t>Unitary Air Conditioner / Heat Pump Btuh range and associated EER minimum and rebate:</t>
  </si>
  <si>
    <t>Packaged Terminal Air Conditioner or Heat Pump (PTAC/PTHP) Btuh range and associated EER minimum and rebate:</t>
  </si>
  <si>
    <t>Approval Code:</t>
  </si>
  <si>
    <r>
      <rPr>
        <u val="single"/>
        <sz val="10"/>
        <color indexed="9"/>
        <rFont val="Arial"/>
        <family val="2"/>
      </rPr>
      <t xml:space="preserve">     </t>
    </r>
    <r>
      <rPr>
        <u val="single"/>
        <sz val="10"/>
        <color indexed="12"/>
        <rFont val="Arial"/>
        <family val="2"/>
      </rPr>
      <t>http://www.prpa.org/productservices/lightenup.htm</t>
    </r>
  </si>
  <si>
    <t>Including Terms and Conditions</t>
  </si>
  <si>
    <t xml:space="preserve">Upon Platte River’s request and reasonable notice, Platte River representatives will be given access to the project site so they may verify equipment installation, characteristics, quantities, and performance. </t>
  </si>
  <si>
    <t>Table 1: ASHRAE 90.1 - 2004 Lighting Power Densities Using the Building Area Method (Taken from Table 9.5.1 of the ASHRAE standard.)</t>
  </si>
  <si>
    <r>
      <t xml:space="preserve">HVAC </t>
    </r>
    <r>
      <rPr>
        <b/>
        <sz val="10"/>
        <rFont val="Arial"/>
        <family val="2"/>
      </rPr>
      <t>Type</t>
    </r>
    <r>
      <rPr>
        <b/>
        <vertAlign val="superscript"/>
        <sz val="10"/>
        <rFont val="Arial"/>
        <family val="2"/>
      </rPr>
      <t>a</t>
    </r>
  </si>
  <si>
    <t>a.  Equipment type: SS=split system, SP=single package, HP=heat pump, PTAC/HP=packaged terminal air conditioner and/or heat pump</t>
  </si>
  <si>
    <t>Contact Platte River Energy Services if you have questions or need assistance documenting the savings estimates.</t>
  </si>
  <si>
    <r>
      <t xml:space="preserve">The </t>
    </r>
    <r>
      <rPr>
        <b/>
        <sz val="10"/>
        <rFont val="Arial"/>
        <family val="2"/>
      </rPr>
      <t>Nominal Incentive</t>
    </r>
    <r>
      <rPr>
        <sz val="10"/>
        <rFont val="Arial"/>
        <family val="0"/>
      </rPr>
      <t xml:space="preserve"> is the greater of the </t>
    </r>
    <r>
      <rPr>
        <b/>
        <sz val="10"/>
        <rFont val="Arial"/>
        <family val="2"/>
      </rPr>
      <t>Energy Incentive</t>
    </r>
    <r>
      <rPr>
        <sz val="10"/>
        <rFont val="Arial"/>
        <family val="0"/>
      </rPr>
      <t xml:space="preserve"> or the </t>
    </r>
    <r>
      <rPr>
        <b/>
        <sz val="10"/>
        <rFont val="Arial"/>
        <family val="2"/>
      </rPr>
      <t>Demand Incentive</t>
    </r>
    <r>
      <rPr>
        <sz val="10"/>
        <rFont val="Arial"/>
        <family val="0"/>
      </rPr>
      <t>:</t>
    </r>
  </si>
  <si>
    <r>
      <t xml:space="preserve">The </t>
    </r>
    <r>
      <rPr>
        <b/>
        <sz val="10"/>
        <rFont val="Arial"/>
        <family val="2"/>
      </rPr>
      <t>Energy Incentive</t>
    </r>
    <r>
      <rPr>
        <sz val="10"/>
        <rFont val="Arial"/>
        <family val="0"/>
      </rPr>
      <t xml:space="preserve"> is $0.10 per annual kWh saved.</t>
    </r>
  </si>
  <si>
    <r>
      <t xml:space="preserve">The </t>
    </r>
    <r>
      <rPr>
        <b/>
        <sz val="10"/>
        <rFont val="Arial"/>
        <family val="2"/>
      </rPr>
      <t>Demand Incentive</t>
    </r>
    <r>
      <rPr>
        <sz val="10"/>
        <rFont val="Arial"/>
        <family val="0"/>
      </rPr>
      <t xml:space="preserve"> is $500 per kW saved during the Summer Peak Period (Monday through Friday, 3 to 6 p.m., June through August).  The demand savings must be the hour-average demand savings that would be measured with a power meter.  Therefore, the estimate should take into account the actual use of the affected equipment  (e.g., duty cycle during, on/off cycling or other forms of capacity modulation, etc.).</t>
    </r>
  </si>
  <si>
    <r>
      <t>60% of project cost:</t>
    </r>
    <r>
      <rPr>
        <sz val="10"/>
        <rFont val="Arial"/>
        <family val="0"/>
      </rPr>
      <t xml:space="preserve"> The total project incentive shall not be greater than 60% of the total cost to implement the project.</t>
    </r>
  </si>
  <si>
    <r>
      <t>One-year simple payback period:</t>
    </r>
    <r>
      <rPr>
        <sz val="10"/>
        <rFont val="Arial"/>
        <family val="0"/>
      </rPr>
      <t xml:space="preserve"> The total project incentive shall not be greater than that which reduces the simple payback period of the project to one year.</t>
    </r>
  </si>
  <si>
    <t>Must provide copies of all pertinent sales invoices, as may be requested by Platte River.</t>
  </si>
  <si>
    <t>The undersigned hereby certifies that the project has been completed as described in this application.  In particular, the equipment is operational; the application accurately describes the new equipment; all equipment quantities are correct; and the attached invoices accurately reflect the project costs.</t>
  </si>
  <si>
    <t xml:space="preserve">     ballasts in the CEE High Performance T8 specification.  Customer may not apply for incentives for installing screw in compact fluorescent lamps </t>
  </si>
  <si>
    <t xml:space="preserve">     in fixtures.  Incentives are provided only for hardwired compact fluorescent fixtures.</t>
  </si>
  <si>
    <t>11.</t>
  </si>
  <si>
    <t>Participants shall require that all parties implementing the proposals and/or installing the Measures that are the subject to this Agreement maintain comprehensive general liability insurance in amounts not less than $500,000 each person/$1,000,000 each occurrence for bodily injury, and $500,000 each occurrence/$1,000,000 in aggregate for property damage.</t>
  </si>
  <si>
    <t>Estimated Project Schedule</t>
  </si>
  <si>
    <t xml:space="preserve">Total Project Area (sq ft): </t>
  </si>
  <si>
    <r>
      <t xml:space="preserve">Mailing address:
</t>
    </r>
    <r>
      <rPr>
        <sz val="7"/>
        <rFont val="Arial"/>
        <family val="2"/>
      </rPr>
      <t>(if different)</t>
    </r>
  </si>
  <si>
    <r>
      <t xml:space="preserve">How did you hear about </t>
    </r>
    <r>
      <rPr>
        <sz val="9"/>
        <rFont val="Arial"/>
        <family val="2"/>
      </rPr>
      <t>EEP</t>
    </r>
    <r>
      <rPr>
        <sz val="10"/>
        <rFont val="Arial"/>
        <family val="0"/>
      </rPr>
      <t>?</t>
    </r>
  </si>
  <si>
    <t>Please be sure to direct all correspondence
 to Energy Services.</t>
  </si>
  <si>
    <t>City and State:</t>
  </si>
  <si>
    <t>Comments:</t>
  </si>
  <si>
    <t>http://www.irs.gov/pub/irs-pdf/fw9.pdf?portlet=3</t>
  </si>
  <si>
    <t>Contact information:</t>
  </si>
  <si>
    <t xml:space="preserve"> (970) 226-4000</t>
  </si>
  <si>
    <t xml:space="preserve"> (970) 229-5244</t>
  </si>
  <si>
    <t>Complete this section only if you want the incentive payment to go to someone other than the Eligible Utility Customer listed on Page 1.</t>
  </si>
  <si>
    <r>
      <t>a</t>
    </r>
    <r>
      <rPr>
        <sz val="8"/>
        <rFont val="Arial"/>
        <family val="2"/>
      </rPr>
      <t xml:space="preserve"> In cases where both general building area </t>
    </r>
  </si>
  <si>
    <t xml:space="preserve">  type and a specific building area type are</t>
  </si>
  <si>
    <t xml:space="preserve">  listed, the specific building area type shall apply.</t>
  </si>
  <si>
    <r>
      <t>Approval code</t>
    </r>
    <r>
      <rPr>
        <sz val="10"/>
        <rFont val="Arial"/>
        <family val="0"/>
      </rPr>
      <t>:</t>
    </r>
  </si>
  <si>
    <t>970-226-4000</t>
  </si>
  <si>
    <t>970-229-5244</t>
  </si>
  <si>
    <t>IMPORTANT:  Site must receive electricity from a listed utility to be eligible for this program</t>
  </si>
  <si>
    <t>For questions or to submit an application for approval or payment, please contact Platte River Energy Services:</t>
  </si>
  <si>
    <t>Project Site</t>
  </si>
  <si>
    <t>Eligible Utility Customer</t>
  </si>
  <si>
    <t>Party Completing Form (if different from company at left)</t>
  </si>
  <si>
    <t>Steps to Participate</t>
  </si>
  <si>
    <t>Page 1:  General Customer and Project Information</t>
  </si>
  <si>
    <t>Efficient Lighting</t>
  </si>
  <si>
    <t>Terms and Conditions</t>
  </si>
  <si>
    <t>Terms and Conditions (Continued)</t>
  </si>
  <si>
    <t>Daylighting Controls</t>
  </si>
  <si>
    <t>Efficient Lighting Incentive Instructions</t>
  </si>
  <si>
    <t xml:space="preserve">Building Envelope </t>
  </si>
  <si>
    <t>a.  Enter as few spaces as possible that adequately describes the facility.  See Table 1 below for a complete list of space types.</t>
  </si>
  <si>
    <t>b.  Make sure that the entire building area is accounted for.</t>
  </si>
  <si>
    <t>In this section, please describe the scope of the project in summary form, including the following: a description of each proposed measure, the affected system(s), the affected facility(ies), what activities will be performed by the Participant, and the estimated energy and demand savings. Add as many additional lines or attach additional sheets as necessary.</t>
  </si>
  <si>
    <t>Efficiency Measure Description</t>
  </si>
  <si>
    <t>Proposed measures
(from Project Description Form)</t>
  </si>
  <si>
    <t>Packaged Terminal Air Conditioner or Heat Pump (PTAC/PTHP) Incentive</t>
  </si>
  <si>
    <t>Please fill in the chart below using information from the chart above.</t>
  </si>
  <si>
    <t xml:space="preserve">TABLE 9.5.1 Lighting Power Densities </t>
  </si>
  <si>
    <t>Using the Building Area Method</t>
  </si>
  <si>
    <t>Contact Person:</t>
  </si>
  <si>
    <t>Mailing Address:</t>
  </si>
  <si>
    <t>PARTICIPANT:</t>
  </si>
  <si>
    <t>Business:</t>
  </si>
  <si>
    <t>Fed. Tax Id.</t>
  </si>
  <si>
    <t>BTUH Capacity Range</t>
  </si>
  <si>
    <t xml:space="preserve">BTUH Range </t>
  </si>
  <si>
    <t>Incentive Determination</t>
  </si>
  <si>
    <t xml:space="preserve">
</t>
  </si>
  <si>
    <t xml:space="preserve">Some projects require pre-approval by Platte River, such as:
</t>
  </si>
  <si>
    <t>Rebate Range Calculator</t>
  </si>
  <si>
    <t>Do Not Delete</t>
  </si>
  <si>
    <t>Site Address:</t>
  </si>
  <si>
    <t xml:space="preserve">City, state, zip: </t>
  </si>
  <si>
    <t>Contact person:</t>
  </si>
  <si>
    <t>Telephone:</t>
  </si>
  <si>
    <t>Serving electric utility:</t>
  </si>
  <si>
    <t>Select your local utility</t>
  </si>
  <si>
    <t>Start date:</t>
  </si>
  <si>
    <t>Completion date:</t>
  </si>
  <si>
    <t>2000 E Horsetooth Rd</t>
  </si>
  <si>
    <t>Fort Collins, CO 80525-5721</t>
  </si>
  <si>
    <t>Select your facility type</t>
  </si>
  <si>
    <t>Grocery</t>
  </si>
  <si>
    <t>If Other, describe:</t>
  </si>
  <si>
    <t>Project Type:</t>
  </si>
  <si>
    <t>Select your project type</t>
  </si>
  <si>
    <t>Required Documentation</t>
  </si>
  <si>
    <t>Alternate Incentive Payment Recipient</t>
  </si>
  <si>
    <t>Please provide documentation for measures listed above.  This should include associated worksheets if applicable, design drawings and/or specifications.  Platte River may follow up with requests for documentation showing proper installation and operation of systems and equipment, such as a start-up or commissioning report. Custom incentive must be accompanied with engineering data illustrating projected energy savings and estimated installation costs.</t>
  </si>
  <si>
    <t>1.</t>
  </si>
  <si>
    <t>2.</t>
  </si>
  <si>
    <t>3.</t>
  </si>
  <si>
    <t>4.</t>
  </si>
  <si>
    <t xml:space="preserve">Return application materials to: </t>
  </si>
  <si>
    <t>5.</t>
  </si>
  <si>
    <t>6.</t>
  </si>
  <si>
    <t>7.</t>
  </si>
  <si>
    <t>8.</t>
  </si>
  <si>
    <t>9.</t>
  </si>
  <si>
    <t>10.</t>
  </si>
  <si>
    <t>An additional cap of $70,000 per customer, per year may also be applied to ensure the program budget is distributed among several customers and to reduce risk that a significant portion of the program's funds fail to be used if the project is not completed.  This cap may be waived at Platte River's discretion, pending availability of funds.  Contact Platte River Energy Services for more information.</t>
  </si>
  <si>
    <t>Peak-period  demand reduction (kW)</t>
  </si>
  <si>
    <t>Annual electricity savings
(kWh)</t>
  </si>
  <si>
    <t>Average peak-period demand 
(kW)</t>
  </si>
  <si>
    <t xml:space="preserve"> Annual electricity usage
(kWh)</t>
  </si>
  <si>
    <t>TOTALS</t>
  </si>
  <si>
    <t>Demand Incentive ($500/kW)</t>
  </si>
  <si>
    <t>Energy Incentive ($/(kWh/yr)</t>
  </si>
  <si>
    <t>Nominal Incentive</t>
  </si>
  <si>
    <t>Incentive caps:</t>
  </si>
  <si>
    <t>60% of project cost</t>
  </si>
  <si>
    <t>One-year simple payback cost</t>
  </si>
  <si>
    <t>Per-customer, per-year</t>
  </si>
  <si>
    <t>ACTUAL INCENTIVE</t>
  </si>
  <si>
    <t>Please describe supporting documentation being provided:</t>
  </si>
  <si>
    <t>Please include documentation that supports the estimated implementation costs listed for each of the measures.  Suitable documentation includes bids from contractors and/or quotes from equipment suppliers.  In-house estimates can be submitted for items that do not have bids or quotes that are readily available.  Such estimates should show costs for equipment and labor separately.  These costs should be broken down further by equipment type or major labor task.  Attach additional pages as necessary.</t>
  </si>
  <si>
    <t>Project Implementation Cost Estimates</t>
  </si>
  <si>
    <t>List assumptions (including associated justification)</t>
  </si>
  <si>
    <t xml:space="preserve">4. </t>
  </si>
  <si>
    <t>Show savings calculations and results</t>
  </si>
  <si>
    <t xml:space="preserve">7. </t>
  </si>
  <si>
    <t>Identify and describe all independent variables</t>
  </si>
  <si>
    <t xml:space="preserve">3. </t>
  </si>
  <si>
    <t>Show energy consumption calculations and results</t>
  </si>
  <si>
    <t xml:space="preserve">6. </t>
  </si>
  <si>
    <t>Identify and describe all dependent variables</t>
  </si>
  <si>
    <t xml:space="preserve">2. </t>
  </si>
  <si>
    <t>Provide all data inputs (raw and summarized)</t>
  </si>
  <si>
    <t xml:space="preserve">5. </t>
  </si>
  <si>
    <t>Show all formulas</t>
  </si>
  <si>
    <t xml:space="preserve">1. </t>
  </si>
  <si>
    <t>Suggested format for presenting peak demand and annual energy usage estimation methods:</t>
  </si>
  <si>
    <t>Savings Calculations</t>
  </si>
  <si>
    <t>Wall insulation Level 2</t>
  </si>
  <si>
    <t>Title:</t>
  </si>
  <si>
    <t>Phone:</t>
  </si>
  <si>
    <t>Fax:</t>
  </si>
  <si>
    <t>(BF &gt; 1.0)</t>
  </si>
  <si>
    <t>Instant-Start Ballasts</t>
  </si>
  <si>
    <t>n/a</t>
  </si>
  <si>
    <t>Programmed Rapid-Start Ballasts</t>
  </si>
  <si>
    <t>BEF = (BF x 100) / ballast input watts</t>
  </si>
  <si>
    <t>BF = ballast factor</t>
  </si>
  <si>
    <r>
      <t>(W/ft</t>
    </r>
    <r>
      <rPr>
        <b/>
        <vertAlign val="superscript"/>
        <sz val="10"/>
        <rFont val="Arial"/>
        <family val="2"/>
      </rPr>
      <t>2</t>
    </r>
    <r>
      <rPr>
        <b/>
        <sz val="10"/>
        <rFont val="Arial"/>
        <family val="2"/>
      </rPr>
      <t>)</t>
    </r>
  </si>
  <si>
    <t>Platte River Power Authority</t>
  </si>
  <si>
    <t>2000 E. Horsetooth Rd.</t>
  </si>
  <si>
    <t>Attn: Energy Services</t>
  </si>
  <si>
    <t>Fort Collins, Colorado 80525-5721</t>
  </si>
  <si>
    <t>Electric Efficiency Program</t>
  </si>
  <si>
    <t>Proposed Lighting</t>
  </si>
  <si>
    <t>LPD
(W/sq ft)</t>
  </si>
  <si>
    <t>ASHRAE Lighting</t>
  </si>
  <si>
    <t>ASHRAE 90.1 - 2004</t>
  </si>
  <si>
    <r>
      <t>Space Type</t>
    </r>
    <r>
      <rPr>
        <vertAlign val="superscript"/>
        <sz val="12"/>
        <rFont val="Arial"/>
        <family val="2"/>
      </rPr>
      <t>a</t>
    </r>
  </si>
  <si>
    <r>
      <t>Area</t>
    </r>
    <r>
      <rPr>
        <sz val="10"/>
        <rFont val="Arial"/>
        <family val="0"/>
      </rPr>
      <t xml:space="preserve">
(sq ft)</t>
    </r>
    <r>
      <rPr>
        <vertAlign val="superscript"/>
        <sz val="12"/>
        <rFont val="Arial"/>
        <family val="2"/>
      </rPr>
      <t>b</t>
    </r>
  </si>
  <si>
    <r>
      <t>Power</t>
    </r>
    <r>
      <rPr>
        <sz val="10"/>
        <rFont val="Arial"/>
        <family val="0"/>
      </rPr>
      <t xml:space="preserve">
(W)</t>
    </r>
  </si>
  <si>
    <t>Reductions</t>
  </si>
  <si>
    <t>Power
(W)</t>
  </si>
  <si>
    <t>Daylighting controls</t>
  </si>
  <si>
    <t>ballast</t>
  </si>
  <si>
    <t># lamps per</t>
  </si>
  <si>
    <t>low ballast factor</t>
  </si>
  <si>
    <t>medium ballast factor</t>
  </si>
  <si>
    <t>high ballast factor</t>
  </si>
  <si>
    <t>Signature:</t>
  </si>
  <si>
    <t>Name:</t>
  </si>
  <si>
    <t>Company:</t>
  </si>
  <si>
    <t>ARI Reference No.</t>
  </si>
  <si>
    <t>Size in Tons</t>
  </si>
  <si>
    <t>Bonus Rebate</t>
  </si>
  <si>
    <t>Equipment Model Number</t>
  </si>
  <si>
    <t>Number of Units Installed</t>
  </si>
  <si>
    <t xml:space="preserve">Installed Unit SEER </t>
  </si>
  <si>
    <t>Rebate Based on EER or SEER</t>
  </si>
  <si>
    <t xml:space="preserve">Base Rebate Amount </t>
  </si>
  <si>
    <t>Your Total Rebate Amount</t>
  </si>
  <si>
    <t>TOTAL</t>
  </si>
  <si>
    <t>Range</t>
  </si>
  <si>
    <t>Low Btu/h</t>
  </si>
  <si>
    <t>Base SEER</t>
  </si>
  <si>
    <t>$4 per ton for each 0.1 EER over 11.0</t>
  </si>
  <si>
    <t>$4 per ton for each 0.1 EER over 10.8</t>
  </si>
  <si>
    <t>&gt;240000</t>
  </si>
  <si>
    <t>$4 per ton for each 0.1 EER over 10.0</t>
  </si>
  <si>
    <t>&gt;50000</t>
  </si>
  <si>
    <t>ENERGY STAR labeled material and application</t>
  </si>
  <si>
    <t>Address:</t>
  </si>
  <si>
    <t>Email:</t>
  </si>
  <si>
    <t>Facility type:</t>
  </si>
  <si>
    <t>Incentive funds are subject to change without notice. Contact Platte River Energy Services to ensure that you have the most recent application and that funds are available.</t>
  </si>
  <si>
    <t>Contact Information</t>
  </si>
  <si>
    <t>Installed Unit EER</t>
  </si>
  <si>
    <t>Determine the Incentive Based on Project Savings and Project Implementation Cost</t>
  </si>
  <si>
    <t>Incentives for NEMA Premium Efficiency Motors</t>
  </si>
  <si>
    <t>Incentive</t>
  </si>
  <si>
    <t>($/motor)</t>
  </si>
  <si>
    <t>Motor Horsepower</t>
  </si>
  <si>
    <t>Motor Function/ID</t>
  </si>
  <si>
    <t>Quantity</t>
  </si>
  <si>
    <t>HP</t>
  </si>
  <si>
    <t>RPM</t>
  </si>
  <si>
    <t>Type ODP/TEFC</t>
  </si>
  <si>
    <t>NEMA % Efficiency</t>
  </si>
  <si>
    <t>Total Incentive</t>
  </si>
  <si>
    <t>Totals</t>
  </si>
  <si>
    <t>Date:</t>
  </si>
  <si>
    <t>Incentive Summary</t>
  </si>
  <si>
    <t>HVAC</t>
  </si>
  <si>
    <t>Measure</t>
  </si>
  <si>
    <t xml:space="preserve">Envelope </t>
  </si>
  <si>
    <t>Efficient Motors</t>
  </si>
  <si>
    <t>Custom Measures</t>
  </si>
  <si>
    <t xml:space="preserve">Automotive Facility </t>
  </si>
  <si>
    <t xml:space="preserve">Convention Center </t>
  </si>
  <si>
    <t xml:space="preserve">Court House </t>
  </si>
  <si>
    <t xml:space="preserve">Dining: Bar Lounge/Leisure </t>
  </si>
  <si>
    <t xml:space="preserve">Dining: Cafeteria/Fast Food </t>
  </si>
  <si>
    <t xml:space="preserve">Dining: Family </t>
  </si>
  <si>
    <t xml:space="preserve">Dormitory </t>
  </si>
  <si>
    <t xml:space="preserve">Exercise Center </t>
  </si>
  <si>
    <t xml:space="preserve">Gymnasium </t>
  </si>
  <si>
    <t xml:space="preserve">Health Care-Clinic </t>
  </si>
  <si>
    <t xml:space="preserve">Hospital </t>
  </si>
  <si>
    <t xml:space="preserve">Hotel </t>
  </si>
  <si>
    <t xml:space="preserve">Library </t>
  </si>
  <si>
    <t xml:space="preserve">Manufacturing Facility </t>
  </si>
  <si>
    <t xml:space="preserve">Motel </t>
  </si>
  <si>
    <t xml:space="preserve">Motion Picture Theater </t>
  </si>
  <si>
    <t xml:space="preserve">Multi-Family </t>
  </si>
  <si>
    <t xml:space="preserve">Museum </t>
  </si>
  <si>
    <t xml:space="preserve">Office </t>
  </si>
  <si>
    <t xml:space="preserve">Parking Garage </t>
  </si>
  <si>
    <t xml:space="preserve">Penitentiary </t>
  </si>
  <si>
    <t xml:space="preserve">Performing Arts Theater </t>
  </si>
  <si>
    <t xml:space="preserve">Police/Fire Station </t>
  </si>
  <si>
    <t xml:space="preserve">Post Office </t>
  </si>
  <si>
    <t xml:space="preserve">Religious Building </t>
  </si>
  <si>
    <t xml:space="preserve">Retail </t>
  </si>
  <si>
    <t xml:space="preserve">School/University </t>
  </si>
  <si>
    <t xml:space="preserve">Sports Arena </t>
  </si>
  <si>
    <t xml:space="preserve">Town Hall </t>
  </si>
  <si>
    <t xml:space="preserve">Transportation </t>
  </si>
  <si>
    <t>Warehouse</t>
  </si>
  <si>
    <t xml:space="preserve">Workshop </t>
  </si>
  <si>
    <t>Lighting Power Density</t>
  </si>
  <si>
    <r>
      <t>Building Area Type</t>
    </r>
    <r>
      <rPr>
        <b/>
        <vertAlign val="superscript"/>
        <sz val="10"/>
        <rFont val="Arial"/>
        <family val="2"/>
      </rPr>
      <t>a</t>
    </r>
  </si>
  <si>
    <t>U value 0.3 or less</t>
  </si>
  <si>
    <t>Window SHGC</t>
  </si>
  <si>
    <t>SHGC 0.25 or less for south, east and west glazing</t>
  </si>
  <si>
    <t>Insulation entirely above deck R-20 c.i.</t>
  </si>
  <si>
    <t>Metal building R-13 + R-19</t>
  </si>
  <si>
    <t>Attic and Other R-38</t>
  </si>
  <si>
    <t>Insulation entirely above deck R-30 c.i.</t>
  </si>
  <si>
    <t>Metal building R-19 + R-19</t>
  </si>
  <si>
    <t>Attic and Other R-38 + R-5 c.i.</t>
  </si>
  <si>
    <t>Mass R-12 c.i.</t>
  </si>
  <si>
    <t>Metal building R-13 + R-13</t>
  </si>
  <si>
    <t>Steel framed R-13 + R-7.5 c.i.</t>
  </si>
  <si>
    <t>Wood framed R-13 + R-4 c.i.</t>
  </si>
  <si>
    <t>Mass R-20 c.i.</t>
  </si>
  <si>
    <t>Steel framed R-19 + R-7.5 c.i.</t>
  </si>
  <si>
    <t>Wood framed R-19 + R-4 c.i.</t>
  </si>
  <si>
    <t>Cool roof</t>
  </si>
  <si>
    <t>Advanced Air Sealing</t>
  </si>
  <si>
    <t>American Air Barrier Association specifications (http://www.airbarrier.org/specs/index_e.php )</t>
  </si>
  <si>
    <t>Incentive per unit</t>
  </si>
  <si>
    <t>per SF glass</t>
  </si>
  <si>
    <t>per SF roof</t>
  </si>
  <si>
    <t>per SF wall</t>
  </si>
  <si>
    <t>per SF building</t>
  </si>
  <si>
    <t>Window U-value Level 2</t>
  </si>
  <si>
    <t>Roof insulation Level 1</t>
  </si>
  <si>
    <t>Roof insulation Level 2</t>
  </si>
  <si>
    <t>Wall insulation Level 1</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</si>
</sst>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_(&quot;$&quot;* #,##0_);_(&quot;$&quot;* \(#,##0\);_(&quot;$&quot;* &quot;-&quot;??_);_(@_)"/>
    <numFmt numFmtId="173" formatCode="mmmm\ d\,\ yyyy"/>
    <numFmt numFmtId="174" formatCode="_(* #,##0_);_(* \(#,##0\);_(* &quot;-&quot;??_);_(@_)"/>
    <numFmt numFmtId="175" formatCode="_(* #,##0.0_);_(* \(#,##0.0\);_(* &quot;-&quot;??_);_(@_)"/>
    <numFmt numFmtId="176" formatCode="#,##0.0"/>
    <numFmt numFmtId="177" formatCode="&quot;$&quot;#,##0"/>
    <numFmt numFmtId="178" formatCode="_([$$-409]* #,##0.00_);_([$$-409]* \(#,##0.00\);_([$$-409]* &quot;-&quot;??_);_(@_)"/>
    <numFmt numFmtId="179" formatCode="mm/dd/yy;@"/>
    <numFmt numFmtId="180" formatCode="m/d/\ h:mm"/>
    <numFmt numFmtId="181" formatCode="&quot;$&quot;#,##0.00"/>
    <numFmt numFmtId="182" formatCode="#,##0.000"/>
    <numFmt numFmtId="183" formatCode="#,##0.0000"/>
    <numFmt numFmtId="184" formatCode="#,##0.00000"/>
    <numFmt numFmtId="185" formatCode="_([$$-409]* #,##0.000_);_([$$-409]* \(#,##0.000\);_([$$-409]* &quot;-&quot;??_);_(@_)"/>
    <numFmt numFmtId="186" formatCode="_([$$-409]* #,##0.0_);_([$$-409]* \(#,##0.0\);_([$$-409]* &quot;-&quot;??_);_(@_)"/>
    <numFmt numFmtId="187" formatCode="_([$$-409]* #,##0_);_([$$-409]* \(#,##0\);_([$$-409]* &quot;-&quot;??_);_(@_)"/>
    <numFmt numFmtId="188" formatCode="&quot;Yes&quot;;&quot;Yes&quot;;&quot;No&quot;"/>
    <numFmt numFmtId="189" formatCode="&quot;True&quot;;&quot;True&quot;;&quot;False&quot;"/>
    <numFmt numFmtId="190" formatCode="&quot;On&quot;;&quot;On&quot;;&quot;Off&quot;"/>
    <numFmt numFmtId="191" formatCode="[$€-2]\ #,##0.00_);[Red]\([$€-2]\ #,##0.00\)"/>
    <numFmt numFmtId="192" formatCode="[$-409]mmmm\ dd\,\ yyyy"/>
    <numFmt numFmtId="193" formatCode="00000"/>
    <numFmt numFmtId="194" formatCode="0;0;;@"/>
    <numFmt numFmtId="195" formatCode="[$-409]dddd\,\ mmmm\ dd\,\ yyyy"/>
    <numFmt numFmtId="196" formatCode="[$-409]h:mm:ss\ AM/PM"/>
    <numFmt numFmtId="197" formatCode="_(&quot;$&quot;* #,##0.0_);_(&quot;$&quot;* \(#,##0.0\);_(&quot;$&quot;* &quot;-&quot;??_);_(@_)"/>
    <numFmt numFmtId="198" formatCode="0.000"/>
    <numFmt numFmtId="199" formatCode="&quot;$&quot;#,##0.000"/>
    <numFmt numFmtId="200" formatCode="0.0000"/>
    <numFmt numFmtId="201" formatCode="0.0000000"/>
    <numFmt numFmtId="202" formatCode="0.00000000"/>
    <numFmt numFmtId="203" formatCode="0.000000"/>
    <numFmt numFmtId="204" formatCode="0.00000"/>
    <numFmt numFmtId="205" formatCode="&quot;$&quot;#,##0.0"/>
    <numFmt numFmtId="206" formatCode="&quot;$&quot;#,##0.000_);[Red]\(&quot;$&quot;#,##0.000\)"/>
    <numFmt numFmtId="207" formatCode="&quot;$&quot;#,##0.0000_);[Red]\(&quot;$&quot;#,##0.0000\)"/>
    <numFmt numFmtId="208" formatCode="&quot;$&quot;#,##0.0_);[Red]\(&quot;$&quot;#,##0.0\)"/>
    <numFmt numFmtId="209" formatCode="_(* #,##0.000_);_(* \(#,##0.000\);_(* &quot;-&quot;??_);_(@_)"/>
  </numFmts>
  <fonts count="122">
    <font>
      <sz val="10"/>
      <name val="Arial"/>
      <family val="0"/>
    </font>
    <font>
      <sz val="8"/>
      <name val="Arial"/>
      <family val="2"/>
    </font>
    <font>
      <b/>
      <sz val="10"/>
      <name val="Arial"/>
      <family val="2"/>
    </font>
    <font>
      <b/>
      <sz val="11"/>
      <name val="Arial"/>
      <family val="2"/>
    </font>
    <font>
      <sz val="11"/>
      <name val="Arial"/>
      <family val="2"/>
    </font>
    <font>
      <sz val="11"/>
      <name val="Times New Roman"/>
      <family val="1"/>
    </font>
    <font>
      <b/>
      <sz val="12"/>
      <name val="Arial"/>
      <family val="2"/>
    </font>
    <font>
      <b/>
      <vertAlign val="superscript"/>
      <sz val="10"/>
      <name val="Arial"/>
      <family val="2"/>
    </font>
    <font>
      <sz val="12"/>
      <name val="Times New Roman"/>
      <family val="1"/>
    </font>
    <font>
      <u val="single"/>
      <sz val="10"/>
      <color indexed="12"/>
      <name val="Arial"/>
      <family val="2"/>
    </font>
    <font>
      <u val="single"/>
      <sz val="10"/>
      <color indexed="36"/>
      <name val="Arial"/>
      <family val="2"/>
    </font>
    <font>
      <sz val="7"/>
      <name val="Small Fonts"/>
      <family val="2"/>
    </font>
    <font>
      <sz val="12"/>
      <name val="Arial"/>
      <family val="2"/>
    </font>
    <font>
      <b/>
      <sz val="12"/>
      <name val="Times New Roman"/>
      <family val="1"/>
    </font>
    <font>
      <vertAlign val="superscript"/>
      <sz val="12"/>
      <name val="Arial"/>
      <family val="2"/>
    </font>
    <font>
      <sz val="14"/>
      <name val="Arial"/>
      <family val="2"/>
    </font>
    <font>
      <sz val="10"/>
      <name val="Book Antiqua"/>
      <family val="1"/>
    </font>
    <font>
      <b/>
      <sz val="10"/>
      <name val="Book Antiqua"/>
      <family val="1"/>
    </font>
    <font>
      <b/>
      <sz val="16"/>
      <name val="Arial"/>
      <family val="2"/>
    </font>
    <font>
      <b/>
      <sz val="18"/>
      <name val="Arial"/>
      <family val="2"/>
    </font>
    <font>
      <sz val="12"/>
      <color indexed="9"/>
      <name val="Arial"/>
      <family val="2"/>
    </font>
    <font>
      <b/>
      <sz val="10"/>
      <color indexed="8"/>
      <name val="Arial"/>
      <family val="2"/>
    </font>
    <font>
      <b/>
      <sz val="14"/>
      <name val="Arial"/>
      <family val="2"/>
    </font>
    <font>
      <b/>
      <sz val="22"/>
      <color indexed="16"/>
      <name val="Arial Narrow"/>
      <family val="2"/>
    </font>
    <font>
      <b/>
      <sz val="13"/>
      <color indexed="16"/>
      <name val="Arial"/>
      <family val="2"/>
    </font>
    <font>
      <b/>
      <sz val="11"/>
      <color indexed="16"/>
      <name val="Arial"/>
      <family val="2"/>
    </font>
    <font>
      <b/>
      <sz val="22"/>
      <color indexed="8"/>
      <name val="Arial Narrow"/>
      <family val="2"/>
    </font>
    <font>
      <sz val="10"/>
      <name val="Times New Roman"/>
      <family val="1"/>
    </font>
    <font>
      <b/>
      <u val="single"/>
      <sz val="11"/>
      <name val="Times New Roman"/>
      <family val="1"/>
    </font>
    <font>
      <sz val="10"/>
      <color indexed="8"/>
      <name val="Arial"/>
      <family val="2"/>
    </font>
    <font>
      <b/>
      <sz val="9.5"/>
      <color indexed="8"/>
      <name val="Arial"/>
      <family val="2"/>
    </font>
    <font>
      <b/>
      <sz val="10"/>
      <name val="Times New Roman"/>
      <family val="1"/>
    </font>
    <font>
      <sz val="11"/>
      <color indexed="8"/>
      <name val="Arial"/>
      <family val="2"/>
    </font>
    <font>
      <b/>
      <sz val="11"/>
      <color indexed="8"/>
      <name val="Arial"/>
      <family val="2"/>
    </font>
    <font>
      <sz val="20"/>
      <name val="Arial"/>
      <family val="2"/>
    </font>
    <font>
      <sz val="16"/>
      <name val="Arial"/>
      <family val="2"/>
    </font>
    <font>
      <sz val="9"/>
      <name val="Arial"/>
      <family val="2"/>
    </font>
    <font>
      <b/>
      <i/>
      <sz val="10"/>
      <name val="Arial"/>
      <family val="2"/>
    </font>
    <font>
      <b/>
      <i/>
      <sz val="14"/>
      <name val="Arial"/>
      <family val="2"/>
    </font>
    <font>
      <sz val="10"/>
      <name val="Wingdings"/>
      <family val="0"/>
    </font>
    <font>
      <b/>
      <sz val="15"/>
      <name val="Arial"/>
      <family val="2"/>
    </font>
    <font>
      <u val="single"/>
      <sz val="8"/>
      <color indexed="12"/>
      <name val="Book Antiqua"/>
      <family val="1"/>
    </font>
    <font>
      <sz val="8"/>
      <name val="Book Antiqua"/>
      <family val="1"/>
    </font>
    <font>
      <b/>
      <sz val="12"/>
      <color indexed="9"/>
      <name val="Book Antiqua"/>
      <family val="1"/>
    </font>
    <font>
      <sz val="12"/>
      <color indexed="9"/>
      <name val="Book Antiqua"/>
      <family val="1"/>
    </font>
    <font>
      <sz val="7"/>
      <name val="Arial"/>
      <family val="2"/>
    </font>
    <font>
      <vertAlign val="superscript"/>
      <sz val="8"/>
      <name val="Arial"/>
      <family val="2"/>
    </font>
    <font>
      <i/>
      <sz val="8"/>
      <name val="Arial"/>
      <family val="2"/>
    </font>
    <font>
      <b/>
      <i/>
      <sz val="12"/>
      <name val="Arial"/>
      <family val="2"/>
    </font>
    <font>
      <b/>
      <vertAlign val="superscript"/>
      <sz val="12"/>
      <name val="Arial"/>
      <family val="2"/>
    </font>
    <font>
      <b/>
      <sz val="10"/>
      <name val="Symbol"/>
      <family val="1"/>
    </font>
    <font>
      <u val="single"/>
      <sz val="10"/>
      <color indexed="9"/>
      <name val="Arial"/>
      <family val="2"/>
    </font>
    <font>
      <i/>
      <sz val="10"/>
      <name val="Arial"/>
      <family val="2"/>
    </font>
    <font>
      <b/>
      <i/>
      <sz val="12"/>
      <color indexed="9"/>
      <name val="Book Antiqua"/>
      <family val="1"/>
    </font>
    <font>
      <b/>
      <sz val="12"/>
      <color indexed="8"/>
      <name val="Arial"/>
      <family val="2"/>
    </font>
    <font>
      <b/>
      <sz val="16"/>
      <color indexed="9"/>
      <name val="Book Antiqua"/>
      <family val="1"/>
    </font>
    <font>
      <b/>
      <sz val="14"/>
      <color indexed="9"/>
      <name val="Book Antiqua"/>
      <family val="1"/>
    </font>
    <font>
      <b/>
      <sz val="10"/>
      <color indexed="9"/>
      <name val="Book Antiqua"/>
      <family val="1"/>
    </font>
    <font>
      <sz val="12"/>
      <name val="Book Antiqua"/>
      <family val="1"/>
    </font>
    <font>
      <sz val="13"/>
      <name val="Book Antiqua"/>
      <family val="1"/>
    </font>
    <font>
      <b/>
      <sz val="13"/>
      <name val="Book Antiqua"/>
      <family val="1"/>
    </font>
    <font>
      <b/>
      <sz val="13"/>
      <color indexed="9"/>
      <name val="Book Antiqua"/>
      <family val="1"/>
    </font>
    <font>
      <sz val="11"/>
      <name val="Book Antiqua"/>
      <family val="1"/>
    </font>
    <font>
      <sz val="10"/>
      <color indexed="9"/>
      <name val="Book Antiqua"/>
      <family val="1"/>
    </font>
    <font>
      <sz val="14"/>
      <name val="Book Antiqua"/>
      <family val="1"/>
    </font>
    <font>
      <u val="single"/>
      <sz val="12"/>
      <color indexed="12"/>
      <name val="Book Antiqua"/>
      <family val="1"/>
    </font>
    <font>
      <sz val="11"/>
      <color indexed="8"/>
      <name val="Book Antiqua"/>
      <family val="1"/>
    </font>
    <font>
      <b/>
      <sz val="15"/>
      <name val="Book Antiqua"/>
      <family val="1"/>
    </font>
    <font>
      <b/>
      <sz val="14"/>
      <name val="Book Antiqua"/>
      <family val="1"/>
    </font>
    <font>
      <b/>
      <sz val="15"/>
      <color indexed="9"/>
      <name val="Book Antiqua"/>
      <family val="1"/>
    </font>
    <font>
      <b/>
      <sz val="12.5"/>
      <color indexed="9"/>
      <name val="Book Antiqua"/>
      <family val="1"/>
    </font>
    <font>
      <b/>
      <sz val="11"/>
      <color indexed="9"/>
      <name val="Book Antiqua"/>
      <family val="1"/>
    </font>
    <font>
      <sz val="10"/>
      <color indexed="8"/>
      <name val="Book Antiqua"/>
      <family val="1"/>
    </font>
    <font>
      <b/>
      <sz val="10"/>
      <color indexed="8"/>
      <name val="Book Antiqua"/>
      <family val="1"/>
    </font>
    <font>
      <b/>
      <sz val="12"/>
      <name val="Book Antiqua"/>
      <family val="1"/>
    </font>
    <font>
      <sz val="13"/>
      <name val="Arial"/>
      <family val="2"/>
    </font>
    <font>
      <b/>
      <sz val="13"/>
      <name val="Arial"/>
      <family val="2"/>
    </font>
    <font>
      <sz val="13"/>
      <color indexed="8"/>
      <name val="Arial"/>
      <family val="2"/>
    </font>
    <font>
      <b/>
      <sz val="13"/>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sz val="22"/>
      <color indexed="60"/>
      <name val="Arial"/>
      <family val="2"/>
    </font>
    <font>
      <b/>
      <sz val="22"/>
      <color indexed="60"/>
      <name val="Arial"/>
      <family val="2"/>
    </font>
    <font>
      <sz val="14"/>
      <color indexed="60"/>
      <name val="Arial"/>
      <family val="2"/>
    </font>
    <font>
      <b/>
      <sz val="14"/>
      <color indexed="60"/>
      <name val="Arial"/>
      <family val="2"/>
    </font>
    <font>
      <sz val="20"/>
      <color indexed="60"/>
      <name val="Calibri"/>
      <family val="2"/>
    </font>
    <font>
      <sz val="16"/>
      <color indexed="60"/>
      <name val="Calibri"/>
      <family val="2"/>
    </font>
    <font>
      <sz val="24"/>
      <color indexed="60"/>
      <name val="Arial"/>
      <family val="2"/>
    </font>
    <font>
      <sz val="10"/>
      <color indexed="60"/>
      <name val="Arial"/>
      <family val="2"/>
    </font>
    <font>
      <b/>
      <sz val="14"/>
      <color indexed="10"/>
      <name val="Arial"/>
      <family val="2"/>
    </font>
    <font>
      <b/>
      <sz val="11"/>
      <color indexed="10"/>
      <name val="Arial"/>
      <family val="2"/>
    </font>
    <font>
      <b/>
      <sz val="10"/>
      <color indexed="10"/>
      <name val="Arial"/>
      <family val="2"/>
    </font>
    <font>
      <b/>
      <sz val="12"/>
      <color indexed="10"/>
      <name val="Arial"/>
      <family val="2"/>
    </font>
    <font>
      <b/>
      <sz val="16"/>
      <color indexed="10"/>
      <name val="Arial"/>
      <family val="2"/>
    </font>
    <font>
      <sz val="10"/>
      <name val="Calibri"/>
      <family val="2"/>
    </font>
    <font>
      <sz val="10"/>
      <color indexed="8"/>
      <name val="Calibri"/>
      <family val="2"/>
    </font>
    <font>
      <sz val="13"/>
      <color indexed="10"/>
      <name val="Book Antiqua"/>
      <family val="1"/>
    </font>
    <font>
      <b/>
      <sz val="12.5"/>
      <color indexed="23"/>
      <name val="Book Antiqua"/>
      <family val="1"/>
    </font>
    <font>
      <b/>
      <sz val="12"/>
      <color indexed="23"/>
      <name val="Book Antiqua"/>
      <family val="1"/>
    </font>
    <font>
      <b/>
      <sz val="10"/>
      <color indexed="9"/>
      <name val="Arial"/>
      <family val="2"/>
    </font>
    <font>
      <sz val="10"/>
      <color indexed="10"/>
      <name val="Arial"/>
      <family val="2"/>
    </font>
    <font>
      <sz val="8"/>
      <name val="Calibri"/>
      <family val="2"/>
    </font>
    <font>
      <sz val="8"/>
      <color indexed="8"/>
      <name val="Arial"/>
      <family val="2"/>
    </font>
    <font>
      <b/>
      <sz val="10"/>
      <color indexed="8"/>
      <name val="Calibri"/>
      <family val="0"/>
    </font>
    <font>
      <sz val="8"/>
      <name val="Verdana"/>
      <family val="0"/>
    </font>
    <font>
      <sz val="10"/>
      <name val="Geneva"/>
      <family val="0"/>
    </font>
  </fonts>
  <fills count="24">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63"/>
        <bgColor indexed="64"/>
      </patternFill>
    </fill>
    <fill>
      <patternFill patternType="solid">
        <fgColor indexed="8"/>
        <bgColor indexed="64"/>
      </patternFill>
    </fill>
    <fill>
      <patternFill patternType="solid">
        <fgColor indexed="51"/>
        <bgColor indexed="64"/>
      </patternFill>
    </fill>
    <fill>
      <patternFill patternType="solid">
        <fgColor indexed="15"/>
        <bgColor indexed="64"/>
      </patternFill>
    </fill>
    <fill>
      <patternFill patternType="darkUp">
        <fgColor indexed="55"/>
        <bgColor indexed="22"/>
      </patternFill>
    </fill>
    <fill>
      <patternFill patternType="solid">
        <fgColor indexed="13"/>
        <bgColor indexed="64"/>
      </patternFill>
    </fill>
  </fills>
  <borders count="1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style="double"/>
      <right>
        <color indexed="63"/>
      </right>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hair"/>
    </border>
    <border>
      <left style="thin"/>
      <right style="thin"/>
      <top style="hair"/>
      <bottom style="thin"/>
    </border>
    <border>
      <left style="thin"/>
      <right style="thin"/>
      <top>
        <color indexed="63"/>
      </top>
      <bottom style="double"/>
    </border>
    <border>
      <left style="thin"/>
      <right style="thin"/>
      <top style="thin">
        <color indexed="23"/>
      </top>
      <bottom style="thin">
        <color indexed="23"/>
      </bottom>
    </border>
    <border>
      <left style="thin"/>
      <right style="thin"/>
      <top>
        <color indexed="63"/>
      </top>
      <bottom style="thin">
        <color indexed="23"/>
      </bottom>
    </border>
    <border>
      <left style="thin"/>
      <right style="thin"/>
      <top style="thin">
        <color indexed="23"/>
      </top>
      <bottom style="thin"/>
    </border>
    <border>
      <left style="double"/>
      <right>
        <color indexed="63"/>
      </right>
      <top>
        <color indexed="63"/>
      </top>
      <bottom style="thin"/>
    </border>
    <border>
      <left>
        <color indexed="63"/>
      </left>
      <right>
        <color indexed="63"/>
      </right>
      <top style="hair"/>
      <bottom style="hair"/>
    </border>
    <border>
      <left style="thin"/>
      <right style="double"/>
      <top style="thin"/>
      <bottom style="thin"/>
    </border>
    <border>
      <left style="thin"/>
      <right style="double"/>
      <top>
        <color indexed="63"/>
      </top>
      <bottom style="double"/>
    </border>
    <border>
      <left style="hair"/>
      <right style="double"/>
      <top style="double"/>
      <bottom style="hair"/>
    </border>
    <border>
      <left style="hair"/>
      <right style="double"/>
      <top style="hair"/>
      <bottom style="hair"/>
    </border>
    <border>
      <left style="hair"/>
      <right style="double"/>
      <top style="hair"/>
      <bottom style="thin"/>
    </border>
    <border>
      <left style="hair"/>
      <right style="double"/>
      <top style="thin"/>
      <bottom style="hair"/>
    </border>
    <border>
      <left style="hair"/>
      <right style="double"/>
      <top style="hair"/>
      <bottom style="medium"/>
    </border>
    <border>
      <left>
        <color indexed="63"/>
      </left>
      <right style="hair"/>
      <top>
        <color indexed="63"/>
      </top>
      <bottom style="double"/>
    </border>
    <border>
      <left style="thin"/>
      <right style="thin"/>
      <top style="thin"/>
      <bottom style="medium"/>
    </border>
    <border>
      <left style="thin"/>
      <right>
        <color indexed="63"/>
      </right>
      <top style="thin"/>
      <bottom style="medium"/>
    </border>
    <border>
      <left style="double"/>
      <right style="thin"/>
      <top>
        <color indexed="63"/>
      </top>
      <bottom style="double"/>
    </border>
    <border>
      <left style="thin"/>
      <right style="thin"/>
      <top style="thin"/>
      <bottom style="thin">
        <color indexed="23"/>
      </bottom>
    </border>
    <border>
      <left>
        <color indexed="63"/>
      </left>
      <right style="thin"/>
      <top>
        <color indexed="63"/>
      </top>
      <bottom style="thin">
        <color indexed="23"/>
      </bottom>
    </border>
    <border>
      <left>
        <color indexed="63"/>
      </left>
      <right style="thin"/>
      <top style="thin">
        <color indexed="23"/>
      </top>
      <bottom style="thin">
        <color indexed="23"/>
      </bottom>
    </border>
    <border>
      <left>
        <color indexed="63"/>
      </left>
      <right style="thin"/>
      <top style="hair"/>
      <bottom style="hair"/>
    </border>
    <border>
      <left style="thin"/>
      <right style="thin"/>
      <top style="thin">
        <color indexed="23"/>
      </top>
      <bottom>
        <color indexed="63"/>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color indexed="63"/>
      </left>
      <right style="thin">
        <color indexed="23"/>
      </right>
      <top style="thin">
        <color indexed="23"/>
      </top>
      <bottom style="thin">
        <color indexed="23"/>
      </bottom>
    </border>
    <border>
      <left style="thin">
        <color indexed="23"/>
      </left>
      <right style="thin"/>
      <top style="thin"/>
      <bottom style="thin">
        <color indexed="23"/>
      </bottom>
    </border>
    <border>
      <left>
        <color indexed="63"/>
      </left>
      <right style="thin">
        <color indexed="23"/>
      </right>
      <top style="thin"/>
      <bottom style="thin">
        <color indexed="23"/>
      </bottom>
    </border>
    <border>
      <left>
        <color indexed="63"/>
      </left>
      <right style="thin">
        <color indexed="23"/>
      </right>
      <top style="thin">
        <color indexed="23"/>
      </top>
      <bottom style="thin"/>
    </border>
    <border>
      <left style="thin">
        <color indexed="23"/>
      </left>
      <right style="thin"/>
      <top style="thin">
        <color indexed="23"/>
      </top>
      <bottom style="thin"/>
    </border>
    <border>
      <left style="thin">
        <color indexed="23"/>
      </left>
      <right style="thin">
        <color indexed="23"/>
      </right>
      <top style="thin"/>
      <bottom style="thin"/>
    </border>
    <border>
      <left style="thin">
        <color indexed="23"/>
      </left>
      <right style="thin"/>
      <top style="thin"/>
      <bottom style="thin"/>
    </border>
    <border>
      <left>
        <color indexed="63"/>
      </left>
      <right style="thin">
        <color indexed="23"/>
      </right>
      <top style="thin"/>
      <bottom style="thin"/>
    </border>
    <border>
      <left>
        <color indexed="63"/>
      </left>
      <right>
        <color indexed="63"/>
      </right>
      <top>
        <color indexed="63"/>
      </top>
      <bottom style="medium"/>
    </border>
    <border>
      <left style="hair"/>
      <right style="double"/>
      <top>
        <color indexed="63"/>
      </top>
      <bottom style="double"/>
    </border>
    <border>
      <left style="thin"/>
      <right>
        <color indexed="63"/>
      </right>
      <top>
        <color indexed="63"/>
      </top>
      <bottom style="double"/>
    </border>
    <border>
      <left>
        <color indexed="63"/>
      </left>
      <right style="thin"/>
      <top style="medium"/>
      <bottom>
        <color indexed="63"/>
      </bottom>
    </border>
    <border>
      <left style="thin"/>
      <right>
        <color indexed="63"/>
      </right>
      <top style="medium"/>
      <bottom>
        <color indexed="63"/>
      </bottom>
    </border>
    <border>
      <left style="medium"/>
      <right style="thin"/>
      <top style="thin"/>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double"/>
    </border>
    <border>
      <left style="medium"/>
      <right>
        <color indexed="63"/>
      </right>
      <top style="thin"/>
      <bottom>
        <color indexed="63"/>
      </bottom>
    </border>
    <border>
      <left style="thin"/>
      <right style="medium"/>
      <top style="thin"/>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color indexed="8"/>
      </right>
      <top style="medium"/>
      <bottom style="medium"/>
    </border>
    <border>
      <left style="thin"/>
      <right style="thin"/>
      <top style="medium"/>
      <bottom style="thin"/>
    </border>
    <border>
      <left>
        <color indexed="63"/>
      </left>
      <right style="medium">
        <color indexed="8"/>
      </right>
      <top style="thin"/>
      <bottom style="thin"/>
    </border>
    <border>
      <left style="medium">
        <color indexed="8"/>
      </left>
      <right style="medium">
        <color indexed="8"/>
      </right>
      <top style="thin"/>
      <bottom style="thin"/>
    </border>
    <border>
      <left style="thin"/>
      <right style="thin"/>
      <top style="medium"/>
      <bottom>
        <color indexed="63"/>
      </bottom>
    </border>
    <border>
      <left style="medium">
        <color indexed="8"/>
      </left>
      <right style="medium">
        <color indexed="8"/>
      </right>
      <top style="medium"/>
      <bottom style="mediu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style="mediu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color indexed="63"/>
      </top>
      <bottom style="thin"/>
    </border>
    <border>
      <left style="thin"/>
      <right style="thin"/>
      <top>
        <color indexed="63"/>
      </top>
      <bottom style="medium"/>
    </border>
    <border>
      <left>
        <color indexed="63"/>
      </left>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double"/>
      <bottom style="thin"/>
    </border>
    <border>
      <left style="medium">
        <color indexed="8"/>
      </left>
      <right>
        <color indexed="63"/>
      </right>
      <top style="thin"/>
      <bottom style="thin"/>
    </border>
    <border>
      <left style="thin"/>
      <right>
        <color indexed="63"/>
      </right>
      <top style="thin"/>
      <bottom style="thin">
        <color indexed="23"/>
      </bottom>
    </border>
    <border>
      <left style="thin"/>
      <right>
        <color indexed="63"/>
      </right>
      <top style="thin">
        <color indexed="23"/>
      </top>
      <bottom style="thin">
        <color indexed="23"/>
      </bottom>
    </border>
    <border>
      <left style="thin"/>
      <right>
        <color indexed="63"/>
      </right>
      <top style="thin">
        <color indexed="23"/>
      </top>
      <bottom style="thin"/>
    </border>
    <border>
      <left style="thin"/>
      <right>
        <color indexed="63"/>
      </right>
      <top>
        <color indexed="63"/>
      </top>
      <bottom style="thin">
        <color indexed="23"/>
      </bottom>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color indexed="63"/>
      </left>
      <right style="thin">
        <color indexed="23"/>
      </right>
      <top>
        <color indexed="63"/>
      </top>
      <bottom style="thin">
        <color indexed="23"/>
      </bottom>
    </border>
    <border>
      <left style="thin"/>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style="medium"/>
      <right style="medium"/>
      <top style="medium"/>
      <bottom>
        <color indexed="63"/>
      </bottom>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thin"/>
    </border>
    <border>
      <left>
        <color indexed="63"/>
      </left>
      <right style="medium"/>
      <top style="medium"/>
      <bottom style="thin"/>
    </border>
    <border>
      <left>
        <color indexed="63"/>
      </left>
      <right style="double"/>
      <top>
        <color indexed="63"/>
      </top>
      <bottom style="thin"/>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thin"/>
      <bottom style="thin"/>
    </border>
    <border>
      <left style="double"/>
      <right>
        <color indexed="63"/>
      </right>
      <top style="hair"/>
      <bottom style="hair"/>
    </border>
    <border>
      <left>
        <color indexed="63"/>
      </left>
      <right style="hair"/>
      <top style="hair"/>
      <bottom style="hair"/>
    </border>
    <border>
      <left style="double"/>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style="thin"/>
      <top style="double"/>
      <bottom>
        <color indexed="63"/>
      </bottom>
    </border>
    <border>
      <left style="thin"/>
      <right style="double"/>
      <top style="double"/>
      <bottom>
        <color indexed="63"/>
      </bottom>
    </border>
    <border>
      <left style="thin"/>
      <right style="double"/>
      <top>
        <color indexed="63"/>
      </top>
      <bottom style="thin"/>
    </border>
    <border>
      <left style="double"/>
      <right>
        <color indexed="63"/>
      </right>
      <top style="thin"/>
      <bottom style="thin"/>
    </border>
    <border>
      <left style="double"/>
      <right>
        <color indexed="63"/>
      </right>
      <top style="thin"/>
      <bottom style="hair"/>
    </border>
    <border>
      <left>
        <color indexed="63"/>
      </left>
      <right style="hair"/>
      <top style="thin"/>
      <bottom style="hair"/>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style="double"/>
      <right>
        <color indexed="63"/>
      </right>
      <top style="hair"/>
      <bottom style="thin"/>
    </border>
    <border>
      <left>
        <color indexed="63"/>
      </left>
      <right style="hair"/>
      <top style="hair"/>
      <bottom style="thin"/>
    </border>
    <border>
      <left>
        <color indexed="63"/>
      </left>
      <right style="thin"/>
      <top>
        <color indexed="63"/>
      </top>
      <bottom style="double"/>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2" borderId="0" applyNumberFormat="0" applyBorder="0" applyAlignment="0" applyProtection="0"/>
    <xf numFmtId="0" fontId="79" fillId="5" borderId="0" applyNumberFormat="0" applyBorder="0" applyAlignment="0" applyProtection="0"/>
    <xf numFmtId="0" fontId="79" fillId="4" borderId="0" applyNumberFormat="0" applyBorder="0" applyAlignment="0" applyProtection="0"/>
    <xf numFmtId="0" fontId="79" fillId="6" borderId="0" applyNumberFormat="0" applyBorder="0" applyAlignment="0" applyProtection="0"/>
    <xf numFmtId="0" fontId="79" fillId="3" borderId="0" applyNumberFormat="0" applyBorder="0" applyAlignment="0" applyProtection="0"/>
    <xf numFmtId="0" fontId="79" fillId="7" borderId="0" applyNumberFormat="0" applyBorder="0" applyAlignment="0" applyProtection="0"/>
    <xf numFmtId="0" fontId="79" fillId="6" borderId="0" applyNumberFormat="0" applyBorder="0" applyAlignment="0" applyProtection="0"/>
    <xf numFmtId="0" fontId="79" fillId="8" borderId="0" applyNumberFormat="0" applyBorder="0" applyAlignment="0" applyProtection="0"/>
    <xf numFmtId="0" fontId="79" fillId="7" borderId="0" applyNumberFormat="0" applyBorder="0" applyAlignment="0" applyProtection="0"/>
    <xf numFmtId="0" fontId="80" fillId="9" borderId="0" applyNumberFormat="0" applyBorder="0" applyAlignment="0" applyProtection="0"/>
    <xf numFmtId="0" fontId="80" fillId="3" borderId="0" applyNumberFormat="0" applyBorder="0" applyAlignment="0" applyProtection="0"/>
    <xf numFmtId="0" fontId="80" fillId="7" borderId="0" applyNumberFormat="0" applyBorder="0" applyAlignment="0" applyProtection="0"/>
    <xf numFmtId="0" fontId="80" fillId="6" borderId="0" applyNumberFormat="0" applyBorder="0" applyAlignment="0" applyProtection="0"/>
    <xf numFmtId="0" fontId="80" fillId="9" borderId="0" applyNumberFormat="0" applyBorder="0" applyAlignment="0" applyProtection="0"/>
    <xf numFmtId="0" fontId="80" fillId="3"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9"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2" fillId="15" borderId="1" applyNumberFormat="0" applyAlignment="0" applyProtection="0"/>
    <xf numFmtId="0" fontId="8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0" fontId="8" fillId="0" borderId="0">
      <alignment/>
      <protection/>
    </xf>
    <xf numFmtId="2" fontId="8" fillId="0" borderId="0">
      <alignment horizontal="center"/>
      <protection/>
    </xf>
    <xf numFmtId="0" fontId="84" fillId="0" borderId="0" applyNumberFormat="0" applyFill="0" applyBorder="0" applyAlignment="0" applyProtection="0"/>
    <xf numFmtId="0" fontId="10" fillId="0" borderId="0" applyNumberFormat="0" applyFill="0" applyBorder="0" applyAlignment="0" applyProtection="0"/>
    <xf numFmtId="0" fontId="85" fillId="17" borderId="0" applyNumberFormat="0" applyBorder="0" applyAlignment="0" applyProtection="0"/>
    <xf numFmtId="0" fontId="13" fillId="0" borderId="0">
      <alignment horizontal="center" wrapText="1"/>
      <protection/>
    </xf>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9" fillId="7" borderId="1" applyNumberFormat="0" applyAlignment="0" applyProtection="0"/>
    <xf numFmtId="1" fontId="8" fillId="0" borderId="0">
      <alignment horizontal="center"/>
      <protection/>
    </xf>
    <xf numFmtId="0" fontId="90" fillId="0" borderId="6" applyNumberFormat="0" applyFill="0" applyAlignment="0" applyProtection="0"/>
    <xf numFmtId="0" fontId="91" fillId="7" borderId="0" applyNumberFormat="0" applyBorder="0" applyAlignment="0" applyProtection="0"/>
    <xf numFmtId="37" fontId="11" fillId="0" borderId="0">
      <alignment/>
      <protection/>
    </xf>
    <xf numFmtId="0" fontId="0" fillId="0" borderId="0">
      <alignment/>
      <protection/>
    </xf>
    <xf numFmtId="0" fontId="0" fillId="0" borderId="0">
      <alignment/>
      <protection/>
    </xf>
    <xf numFmtId="0" fontId="8" fillId="0" borderId="0">
      <alignment/>
      <protection/>
    </xf>
    <xf numFmtId="0" fontId="79" fillId="0" borderId="0">
      <alignment/>
      <protection/>
    </xf>
    <xf numFmtId="0" fontId="0" fillId="4" borderId="7" applyNumberFormat="0" applyFont="0" applyAlignment="0" applyProtection="0"/>
    <xf numFmtId="0" fontId="92"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107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2" fillId="15" borderId="0" xfId="0" applyFont="1" applyFill="1" applyAlignment="1" applyProtection="1">
      <alignment horizontal="right" vertical="center"/>
      <protection locked="0"/>
    </xf>
    <xf numFmtId="0" fontId="0" fillId="0" borderId="0" xfId="0" applyBorder="1" applyAlignment="1">
      <alignment/>
    </xf>
    <xf numFmtId="44" fontId="0" fillId="0" borderId="0" xfId="47" applyFont="1" applyBorder="1" applyAlignment="1">
      <alignment/>
    </xf>
    <xf numFmtId="0" fontId="0" fillId="0" borderId="0" xfId="0" applyBorder="1" applyAlignment="1">
      <alignment horizontal="center"/>
    </xf>
    <xf numFmtId="0" fontId="2" fillId="0" borderId="0" xfId="0" applyFont="1" applyBorder="1" applyAlignment="1">
      <alignment horizontal="left"/>
    </xf>
    <xf numFmtId="0" fontId="2" fillId="0" borderId="10" xfId="0" applyFont="1" applyBorder="1" applyAlignment="1">
      <alignment/>
    </xf>
    <xf numFmtId="0" fontId="0" fillId="0" borderId="0" xfId="0" applyAlignment="1">
      <alignment wrapText="1"/>
    </xf>
    <xf numFmtId="171" fontId="0" fillId="0" borderId="10" xfId="0" applyNumberFormat="1" applyBorder="1" applyAlignment="1">
      <alignment/>
    </xf>
    <xf numFmtId="0" fontId="0" fillId="0" borderId="0" xfId="0" applyFont="1" applyAlignment="1">
      <alignment/>
    </xf>
    <xf numFmtId="3" fontId="0" fillId="0" borderId="0" xfId="0" applyNumberFormat="1" applyBorder="1" applyAlignment="1">
      <alignment horizontal="center"/>
    </xf>
    <xf numFmtId="44" fontId="0" fillId="0" borderId="0" xfId="47" applyFont="1" applyFill="1" applyBorder="1" applyAlignment="1">
      <alignment horizontal="center"/>
    </xf>
    <xf numFmtId="0" fontId="2" fillId="0" borderId="13" xfId="0" applyFont="1" applyBorder="1" applyAlignment="1">
      <alignment horizontal="center"/>
    </xf>
    <xf numFmtId="0" fontId="0" fillId="0" borderId="0" xfId="0" applyFill="1" applyBorder="1" applyAlignment="1">
      <alignment/>
    </xf>
    <xf numFmtId="0" fontId="0" fillId="0" borderId="14" xfId="0" applyBorder="1" applyAlignment="1">
      <alignment/>
    </xf>
    <xf numFmtId="0" fontId="2" fillId="2" borderId="15" xfId="0" applyFont="1" applyFill="1" applyBorder="1" applyAlignment="1">
      <alignment/>
    </xf>
    <xf numFmtId="0" fontId="0" fillId="2" borderId="15" xfId="0" applyFill="1" applyBorder="1" applyAlignment="1">
      <alignment/>
    </xf>
    <xf numFmtId="0" fontId="0" fillId="2" borderId="12" xfId="0" applyFill="1" applyBorder="1" applyAlignment="1">
      <alignment horizontal="centerContinuous" wrapText="1"/>
    </xf>
    <xf numFmtId="0" fontId="0" fillId="2" borderId="14" xfId="0" applyFill="1" applyBorder="1" applyAlignment="1">
      <alignment horizontal="centerContinuous" wrapText="1"/>
    </xf>
    <xf numFmtId="0" fontId="0" fillId="2" borderId="11" xfId="0" applyFill="1" applyBorder="1" applyAlignment="1">
      <alignment horizontal="centerContinuous" wrapText="1"/>
    </xf>
    <xf numFmtId="0" fontId="0" fillId="2" borderId="11" xfId="0" applyFill="1" applyBorder="1" applyAlignment="1">
      <alignment horizontal="centerContinuous"/>
    </xf>
    <xf numFmtId="0" fontId="0" fillId="2" borderId="14" xfId="0" applyFill="1" applyBorder="1" applyAlignment="1">
      <alignment horizontal="centerContinuous"/>
    </xf>
    <xf numFmtId="0" fontId="0" fillId="2" borderId="16" xfId="0" applyFill="1" applyBorder="1" applyAlignment="1">
      <alignment/>
    </xf>
    <xf numFmtId="0" fontId="0" fillId="2" borderId="17" xfId="0" applyFill="1" applyBorder="1" applyAlignment="1">
      <alignment horizontal="center" wrapText="1"/>
    </xf>
    <xf numFmtId="0" fontId="0" fillId="2" borderId="18" xfId="0" applyFill="1" applyBorder="1" applyAlignment="1">
      <alignment horizontal="center" wrapText="1"/>
    </xf>
    <xf numFmtId="0" fontId="0" fillId="2" borderId="19" xfId="0" applyFill="1" applyBorder="1" applyAlignment="1">
      <alignment horizontal="center" wrapText="1"/>
    </xf>
    <xf numFmtId="0" fontId="0" fillId="2" borderId="20" xfId="0" applyFill="1" applyBorder="1" applyAlignment="1">
      <alignment horizontal="center" wrapText="1"/>
    </xf>
    <xf numFmtId="0" fontId="0" fillId="2" borderId="21" xfId="0" applyFill="1" applyBorder="1" applyAlignment="1">
      <alignment horizontal="center" wrapText="1"/>
    </xf>
    <xf numFmtId="0" fontId="2" fillId="2" borderId="10" xfId="0" applyFont="1" applyFill="1" applyBorder="1" applyAlignment="1">
      <alignment/>
    </xf>
    <xf numFmtId="0" fontId="0" fillId="2" borderId="12" xfId="0" applyFill="1" applyBorder="1" applyAlignment="1">
      <alignment/>
    </xf>
    <xf numFmtId="0" fontId="0" fillId="2" borderId="14" xfId="0" applyFill="1" applyBorder="1" applyAlignment="1">
      <alignment/>
    </xf>
    <xf numFmtId="0" fontId="15" fillId="0" borderId="0" xfId="0" applyFont="1" applyBorder="1" applyAlignment="1">
      <alignment/>
    </xf>
    <xf numFmtId="0" fontId="0" fillId="0" borderId="0" xfId="0" applyFont="1" applyBorder="1" applyAlignment="1">
      <alignment/>
    </xf>
    <xf numFmtId="0" fontId="15" fillId="0" borderId="0" xfId="0" applyFont="1" applyAlignment="1">
      <alignment/>
    </xf>
    <xf numFmtId="0" fontId="16" fillId="0" borderId="0" xfId="0" applyFont="1" applyFill="1" applyBorder="1" applyAlignment="1" applyProtection="1">
      <alignment horizontal="left" vertical="center"/>
      <protection/>
    </xf>
    <xf numFmtId="0" fontId="16" fillId="0" borderId="0" xfId="0" applyFont="1" applyAlignment="1" applyProtection="1">
      <alignment vertical="center"/>
      <protection/>
    </xf>
    <xf numFmtId="0" fontId="0" fillId="0" borderId="13" xfId="0" applyFont="1" applyFill="1" applyBorder="1" applyAlignment="1" applyProtection="1">
      <alignment horizontal="left" vertical="center"/>
      <protection locked="0"/>
    </xf>
    <xf numFmtId="0" fontId="0" fillId="0" borderId="13"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16" fillId="0" borderId="0" xfId="0" applyFont="1" applyBorder="1" applyAlignment="1" applyProtection="1">
      <alignment vertical="center"/>
      <protection/>
    </xf>
    <xf numFmtId="0" fontId="96" fillId="0" borderId="0" xfId="0" applyFont="1" applyAlignment="1">
      <alignment/>
    </xf>
    <xf numFmtId="0" fontId="19" fillId="0" borderId="0" xfId="71" applyFont="1" applyFill="1" applyBorder="1" applyAlignment="1" applyProtection="1">
      <alignment horizontal="left" vertical="center"/>
      <protection locked="0"/>
    </xf>
    <xf numFmtId="0" fontId="18" fillId="0" borderId="0" xfId="71" applyFont="1" applyFill="1" applyBorder="1" applyAlignment="1" applyProtection="1">
      <alignment horizontal="right" vertical="center"/>
      <protection locked="0"/>
    </xf>
    <xf numFmtId="0" fontId="18" fillId="0" borderId="0" xfId="71" applyFont="1" applyFill="1" applyAlignment="1" applyProtection="1">
      <alignment horizontal="centerContinuous" vertical="center"/>
      <protection locked="0"/>
    </xf>
    <xf numFmtId="0" fontId="19" fillId="0" borderId="0" xfId="71" applyFont="1" applyFill="1" applyBorder="1" applyAlignment="1" applyProtection="1">
      <alignment horizontal="centerContinuous" vertical="center"/>
      <protection locked="0"/>
    </xf>
    <xf numFmtId="0" fontId="19" fillId="0" borderId="0" xfId="71" applyFont="1" applyFill="1" applyBorder="1" applyAlignment="1" applyProtection="1">
      <alignment vertical="top"/>
      <protection locked="0"/>
    </xf>
    <xf numFmtId="0" fontId="3" fillId="0" borderId="0" xfId="71" applyFont="1" applyFill="1" applyBorder="1" applyAlignment="1" applyProtection="1">
      <alignment horizontal="left" vertical="center" indent="3"/>
      <protection locked="0"/>
    </xf>
    <xf numFmtId="0" fontId="18" fillId="0" borderId="0" xfId="71" applyFont="1" applyFill="1" applyProtection="1">
      <alignment/>
      <protection locked="0"/>
    </xf>
    <xf numFmtId="0" fontId="2" fillId="0" borderId="0" xfId="0" applyFont="1" applyAlignment="1">
      <alignment/>
    </xf>
    <xf numFmtId="0" fontId="17" fillId="0" borderId="0" xfId="0" applyFont="1" applyAlignment="1" applyProtection="1">
      <alignment vertical="center"/>
      <protection/>
    </xf>
    <xf numFmtId="0" fontId="97" fillId="0" borderId="0" xfId="71" applyFont="1" applyFill="1" applyProtection="1">
      <alignment/>
      <protection locked="0"/>
    </xf>
    <xf numFmtId="0" fontId="98" fillId="0" borderId="0" xfId="71" applyFont="1" applyFill="1" applyAlignment="1" applyProtection="1">
      <alignment horizontal="left" vertical="center"/>
      <protection locked="0"/>
    </xf>
    <xf numFmtId="0" fontId="98" fillId="0" borderId="0" xfId="71" applyFont="1" applyFill="1" applyBorder="1" applyAlignment="1" applyProtection="1">
      <alignment horizontal="left" vertical="center"/>
      <protection locked="0"/>
    </xf>
    <xf numFmtId="0" fontId="99" fillId="0" borderId="0" xfId="71" applyFont="1" applyFill="1" applyProtection="1">
      <alignment/>
      <protection locked="0"/>
    </xf>
    <xf numFmtId="0" fontId="100" fillId="0" borderId="0" xfId="71" applyFont="1" applyFill="1" applyAlignment="1" applyProtection="1">
      <alignment horizontal="centerContinuous" vertical="center"/>
      <protection locked="0"/>
    </xf>
    <xf numFmtId="0" fontId="100" fillId="0" borderId="0" xfId="71" applyFont="1" applyFill="1" applyBorder="1" applyAlignment="1" applyProtection="1">
      <alignment horizontal="centerContinuous" vertical="center"/>
      <protection locked="0"/>
    </xf>
    <xf numFmtId="0" fontId="2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locked="0"/>
    </xf>
    <xf numFmtId="0" fontId="29" fillId="0" borderId="10" xfId="0" applyFont="1" applyFill="1" applyBorder="1" applyAlignment="1" applyProtection="1">
      <alignment horizontal="center" wrapText="1"/>
      <protection/>
    </xf>
    <xf numFmtId="176" fontId="29" fillId="2" borderId="10" xfId="42" applyNumberFormat="1" applyFont="1" applyFill="1" applyBorder="1" applyAlignment="1" applyProtection="1">
      <alignment horizontal="center" vertical="center" shrinkToFit="1"/>
      <protection locked="0"/>
    </xf>
    <xf numFmtId="3" fontId="29" fillId="2" borderId="10" xfId="42"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protection/>
    </xf>
    <xf numFmtId="176" fontId="30" fillId="0" borderId="0" xfId="42" applyNumberFormat="1" applyFont="1" applyFill="1" applyBorder="1" applyAlignment="1" applyProtection="1">
      <alignment horizontal="center" vertical="center" shrinkToFit="1"/>
      <protection/>
    </xf>
    <xf numFmtId="3" fontId="30" fillId="0" borderId="0" xfId="42" applyNumberFormat="1" applyFont="1" applyFill="1" applyBorder="1" applyAlignment="1" applyProtection="1">
      <alignment horizontal="center" vertical="center" shrinkToFit="1"/>
      <protection/>
    </xf>
    <xf numFmtId="177" fontId="30" fillId="0" borderId="0" xfId="47" applyNumberFormat="1" applyFont="1" applyFill="1" applyBorder="1" applyAlignment="1" applyProtection="1">
      <alignment horizontal="center" vertical="center" shrinkToFit="1"/>
      <protection/>
    </xf>
    <xf numFmtId="6" fontId="27" fillId="0" borderId="0" xfId="0" applyNumberFormat="1" applyFont="1" applyFill="1" applyBorder="1" applyAlignment="1">
      <alignment horizontal="right" vertical="center"/>
    </xf>
    <xf numFmtId="6" fontId="31" fillId="0" borderId="0" xfId="0" applyNumberFormat="1" applyFont="1" applyFill="1" applyBorder="1" applyAlignment="1">
      <alignment horizontal="right" vertical="center"/>
    </xf>
    <xf numFmtId="175" fontId="32" fillId="0" borderId="0" xfId="42" applyNumberFormat="1" applyFont="1" applyFill="1" applyBorder="1" applyAlignment="1" applyProtection="1">
      <alignment horizontal="center" vertical="center"/>
      <protection/>
    </xf>
    <xf numFmtId="174" fontId="32" fillId="0" borderId="0" xfId="42" applyNumberFormat="1" applyFont="1" applyFill="1" applyBorder="1" applyAlignment="1" applyProtection="1">
      <alignment horizontal="center" vertical="center"/>
      <protection/>
    </xf>
    <xf numFmtId="175" fontId="33" fillId="0" borderId="0" xfId="42" applyNumberFormat="1" applyFont="1" applyFill="1" applyBorder="1" applyAlignment="1" applyProtection="1">
      <alignment horizontal="center" vertical="center"/>
      <protection/>
    </xf>
    <xf numFmtId="174" fontId="33" fillId="0" borderId="0" xfId="42" applyNumberFormat="1" applyFont="1" applyFill="1" applyBorder="1" applyAlignment="1" applyProtection="1">
      <alignment horizontal="center" vertical="center"/>
      <protection/>
    </xf>
    <xf numFmtId="172" fontId="32" fillId="0" borderId="0" xfId="47" applyNumberFormat="1" applyFont="1" applyFill="1" applyBorder="1" applyAlignment="1" applyProtection="1">
      <alignment horizontal="center" vertical="center"/>
      <protection/>
    </xf>
    <xf numFmtId="0" fontId="24" fillId="0" borderId="0" xfId="73" applyFont="1" applyFill="1" applyBorder="1" applyAlignment="1">
      <alignment horizontal="left" vertical="center"/>
      <protection/>
    </xf>
    <xf numFmtId="0" fontId="23"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4" fillId="0" borderId="0" xfId="0" applyFont="1" applyBorder="1" applyAlignment="1">
      <alignment/>
    </xf>
    <xf numFmtId="0" fontId="35" fillId="0" borderId="0" xfId="0" applyFont="1" applyBorder="1" applyAlignment="1">
      <alignment/>
    </xf>
    <xf numFmtId="0" fontId="0" fillId="15" borderId="0" xfId="0" applyFill="1" applyBorder="1" applyAlignment="1">
      <alignment horizontal="center"/>
    </xf>
    <xf numFmtId="0" fontId="34" fillId="0" borderId="0" xfId="0" applyFont="1" applyAlignment="1">
      <alignment/>
    </xf>
    <xf numFmtId="0" fontId="0" fillId="15" borderId="0" xfId="0" applyFont="1" applyFill="1" applyBorder="1" applyAlignment="1" applyProtection="1">
      <alignment horizontal="left" vertical="center"/>
      <protection locked="0"/>
    </xf>
    <xf numFmtId="0" fontId="0" fillId="15" borderId="0" xfId="0" applyFont="1" applyFill="1" applyBorder="1" applyAlignment="1" applyProtection="1">
      <alignment vertical="center"/>
      <protection locked="0"/>
    </xf>
    <xf numFmtId="0" fontId="0" fillId="0" borderId="0" xfId="71" applyFont="1" applyFill="1" applyBorder="1" applyAlignment="1" applyProtection="1">
      <alignment vertical="center"/>
      <protection locked="0"/>
    </xf>
    <xf numFmtId="0" fontId="0" fillId="0" borderId="0" xfId="71" applyFont="1" applyFill="1" applyBorder="1" applyAlignment="1" applyProtection="1">
      <alignment horizontal="left" vertical="center"/>
      <protection locked="0"/>
    </xf>
    <xf numFmtId="0" fontId="0" fillId="0" borderId="0" xfId="71" applyFont="1">
      <alignment/>
      <protection/>
    </xf>
    <xf numFmtId="0" fontId="0" fillId="0" borderId="0" xfId="71" applyFont="1" applyFill="1" applyBorder="1" applyProtection="1">
      <alignment/>
      <protection locked="0"/>
    </xf>
    <xf numFmtId="0" fontId="0" fillId="0" borderId="11" xfId="71" applyFont="1" applyFill="1" applyBorder="1" applyAlignment="1" applyProtection="1">
      <alignment horizontal="left" vertical="center"/>
      <protection locked="0"/>
    </xf>
    <xf numFmtId="0" fontId="6" fillId="0" borderId="0" xfId="71" applyFont="1" applyFill="1" applyAlignment="1" applyProtection="1">
      <alignment/>
      <protection locked="0"/>
    </xf>
    <xf numFmtId="0" fontId="101" fillId="0" borderId="0" xfId="0" applyFont="1" applyFill="1" applyAlignment="1">
      <alignment/>
    </xf>
    <xf numFmtId="0" fontId="102" fillId="0" borderId="0" xfId="0" applyFont="1" applyFill="1" applyAlignment="1">
      <alignment/>
    </xf>
    <xf numFmtId="0" fontId="103" fillId="0" borderId="0" xfId="0" applyFont="1" applyFill="1" applyAlignment="1">
      <alignment/>
    </xf>
    <xf numFmtId="0" fontId="104" fillId="0" borderId="0" xfId="0" applyFont="1" applyFill="1" applyAlignment="1">
      <alignment/>
    </xf>
    <xf numFmtId="0" fontId="0" fillId="0" borderId="0" xfId="0" applyFill="1" applyAlignment="1">
      <alignment/>
    </xf>
    <xf numFmtId="0" fontId="22" fillId="0" borderId="0" xfId="71" applyFont="1" applyFill="1">
      <alignment/>
      <protection/>
    </xf>
    <xf numFmtId="0" fontId="15" fillId="0" borderId="0" xfId="0" applyFont="1" applyFill="1" applyAlignment="1">
      <alignment/>
    </xf>
    <xf numFmtId="0" fontId="0" fillId="0" borderId="0" xfId="0" applyFont="1" applyFill="1" applyAlignment="1">
      <alignment/>
    </xf>
    <xf numFmtId="0" fontId="0" fillId="0" borderId="0" xfId="0" applyFill="1" applyBorder="1" applyAlignment="1">
      <alignment horizontal="center" vertical="center"/>
    </xf>
    <xf numFmtId="0" fontId="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37" fillId="0" borderId="0" xfId="0" applyFont="1" applyFill="1" applyBorder="1" applyAlignment="1" applyProtection="1">
      <alignment horizontal="left" vertical="center"/>
      <protection/>
    </xf>
    <xf numFmtId="0" fontId="37" fillId="0" borderId="0" xfId="0" applyFont="1" applyAlignment="1" applyProtection="1">
      <alignment vertical="center"/>
      <protection/>
    </xf>
    <xf numFmtId="0" fontId="0" fillId="0" borderId="0" xfId="0" applyFont="1" applyBorder="1" applyAlignment="1" applyProtection="1">
      <alignment horizontal="right"/>
      <protection/>
    </xf>
    <xf numFmtId="0" fontId="0" fillId="0" borderId="0" xfId="0" applyFont="1" applyFill="1" applyBorder="1" applyAlignment="1" applyProtection="1">
      <alignment horizontal="right"/>
      <protection/>
    </xf>
    <xf numFmtId="0" fontId="0" fillId="15"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0" fillId="0" borderId="12" xfId="0" applyFont="1" applyBorder="1" applyAlignment="1">
      <alignment/>
    </xf>
    <xf numFmtId="0" fontId="15" fillId="0" borderId="0" xfId="0" applyFont="1" applyFill="1" applyBorder="1" applyAlignment="1">
      <alignment/>
    </xf>
    <xf numFmtId="0" fontId="2" fillId="0" borderId="0" xfId="0" applyFont="1" applyFill="1" applyAlignment="1" applyProtection="1">
      <alignment horizontal="right" vertical="center"/>
      <protection locked="0"/>
    </xf>
    <xf numFmtId="0" fontId="38" fillId="0" borderId="0" xfId="71" applyFont="1" applyAlignment="1" applyProtection="1">
      <alignment/>
      <protection/>
    </xf>
    <xf numFmtId="0" fontId="0" fillId="0" borderId="0" xfId="0" applyFont="1" applyAlignment="1">
      <alignment vertical="top"/>
    </xf>
    <xf numFmtId="0" fontId="0" fillId="0" borderId="18" xfId="71" applyFont="1" applyFill="1" applyBorder="1" applyAlignment="1" applyProtection="1">
      <alignment horizontal="left" vertical="center"/>
      <protection locked="0"/>
    </xf>
    <xf numFmtId="0" fontId="0" fillId="0" borderId="22" xfId="71" applyFont="1" applyFill="1" applyBorder="1" applyAlignment="1" applyProtection="1">
      <alignment vertical="center"/>
      <protection locked="0"/>
    </xf>
    <xf numFmtId="0" fontId="4" fillId="0" borderId="0" xfId="71" applyFont="1" applyAlignment="1">
      <alignment vertical="top" wrapText="1"/>
      <protection/>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3" fillId="0" borderId="0" xfId="0" applyFont="1" applyBorder="1" applyAlignment="1">
      <alignment horizontal="right"/>
    </xf>
    <xf numFmtId="0" fontId="21" fillId="0" borderId="10" xfId="0" applyFont="1" applyBorder="1" applyAlignment="1">
      <alignment horizontal="center" vertical="center" wrapText="1"/>
    </xf>
    <xf numFmtId="0" fontId="105" fillId="0" borderId="0" xfId="0" applyFont="1" applyBorder="1" applyAlignment="1">
      <alignment/>
    </xf>
    <xf numFmtId="0" fontId="40" fillId="0" borderId="0" xfId="71" applyFont="1" applyFill="1" applyBorder="1" applyAlignment="1" applyProtection="1">
      <alignment horizontal="left" vertical="top"/>
      <protection locked="0"/>
    </xf>
    <xf numFmtId="0" fontId="0" fillId="0" borderId="0" xfId="71" applyFill="1" applyProtection="1">
      <alignment/>
      <protection locked="0"/>
    </xf>
    <xf numFmtId="0" fontId="18" fillId="0" borderId="0" xfId="71" applyFont="1" applyFill="1" applyAlignment="1" applyProtection="1">
      <alignment horizontal="left" vertical="center"/>
      <protection locked="0"/>
    </xf>
    <xf numFmtId="0" fontId="0" fillId="0" borderId="0" xfId="71" applyFill="1" applyAlignment="1" applyProtection="1">
      <alignment horizontal="left"/>
      <protection locked="0"/>
    </xf>
    <xf numFmtId="0" fontId="41" fillId="0" borderId="0" xfId="62" applyFont="1" applyFill="1" applyAlignment="1" applyProtection="1">
      <alignment/>
      <protection locked="0"/>
    </xf>
    <xf numFmtId="0" fontId="42" fillId="0" borderId="0" xfId="71" applyFont="1" applyFill="1" applyProtection="1">
      <alignment/>
      <protection locked="0"/>
    </xf>
    <xf numFmtId="0" fontId="0" fillId="0" borderId="0" xfId="71" applyFill="1" applyBorder="1" applyAlignment="1" applyProtection="1">
      <alignment vertical="center"/>
      <protection locked="0"/>
    </xf>
    <xf numFmtId="0" fontId="43" fillId="18" borderId="11" xfId="71" applyFont="1" applyFill="1" applyBorder="1" applyAlignment="1" applyProtection="1">
      <alignment horizontal="left" vertical="center"/>
      <protection locked="0"/>
    </xf>
    <xf numFmtId="0" fontId="20" fillId="18" borderId="12" xfId="71" applyFont="1" applyFill="1" applyBorder="1" applyAlignment="1" applyProtection="1">
      <alignment vertical="center"/>
      <protection locked="0"/>
    </xf>
    <xf numFmtId="0" fontId="44" fillId="18" borderId="12" xfId="71" applyFont="1" applyFill="1" applyBorder="1" applyAlignment="1" applyProtection="1">
      <alignment horizontal="left" vertical="center"/>
      <protection locked="0"/>
    </xf>
    <xf numFmtId="0" fontId="20" fillId="18" borderId="12" xfId="71" applyFont="1" applyFill="1" applyBorder="1" applyAlignment="1" applyProtection="1">
      <alignment horizontal="left" vertical="center"/>
      <protection locked="0"/>
    </xf>
    <xf numFmtId="0" fontId="20" fillId="18" borderId="14" xfId="71" applyFont="1" applyFill="1" applyBorder="1" applyAlignment="1" applyProtection="1">
      <alignment horizontal="left" vertical="center"/>
      <protection locked="0"/>
    </xf>
    <xf numFmtId="0" fontId="0" fillId="0" borderId="0" xfId="71" applyFill="1" applyBorder="1" applyAlignment="1" applyProtection="1">
      <alignment horizontal="left" vertical="center"/>
      <protection locked="0"/>
    </xf>
    <xf numFmtId="0" fontId="20" fillId="18" borderId="14" xfId="71" applyFont="1" applyFill="1" applyBorder="1" applyAlignment="1" applyProtection="1">
      <alignment vertical="center"/>
      <protection locked="0"/>
    </xf>
    <xf numFmtId="0" fontId="44" fillId="18" borderId="14" xfId="71" applyFont="1" applyFill="1" applyBorder="1" applyAlignment="1" applyProtection="1">
      <alignment horizontal="right" vertical="center"/>
      <protection locked="0"/>
    </xf>
    <xf numFmtId="0" fontId="16" fillId="0" borderId="22" xfId="71" applyFont="1" applyFill="1" applyBorder="1" applyAlignment="1" applyProtection="1">
      <alignment horizontal="left" vertical="center"/>
      <protection locked="0"/>
    </xf>
    <xf numFmtId="0" fontId="9" fillId="0" borderId="22" xfId="62" applyFill="1" applyBorder="1" applyAlignment="1" applyProtection="1">
      <alignment horizontal="left" vertical="center"/>
      <protection locked="0"/>
    </xf>
    <xf numFmtId="0" fontId="0" fillId="0" borderId="22" xfId="71" applyFill="1" applyBorder="1" applyAlignment="1" applyProtection="1">
      <alignment horizontal="left" vertical="center"/>
      <protection locked="0"/>
    </xf>
    <xf numFmtId="0" fontId="43" fillId="18" borderId="18" xfId="71" applyFont="1" applyFill="1" applyBorder="1" applyAlignment="1" applyProtection="1">
      <alignment horizontal="left" vertical="center"/>
      <protection locked="0"/>
    </xf>
    <xf numFmtId="0" fontId="20" fillId="18" borderId="22" xfId="71" applyFont="1" applyFill="1" applyBorder="1" applyAlignment="1" applyProtection="1">
      <alignment vertical="center"/>
      <protection locked="0"/>
    </xf>
    <xf numFmtId="0" fontId="44" fillId="18" borderId="22" xfId="71" applyFont="1" applyFill="1" applyBorder="1" applyAlignment="1" applyProtection="1">
      <alignment horizontal="left" vertical="center"/>
      <protection locked="0"/>
    </xf>
    <xf numFmtId="0" fontId="20" fillId="18" borderId="22" xfId="71" applyFont="1" applyFill="1" applyBorder="1" applyAlignment="1" applyProtection="1">
      <alignment horizontal="left" vertical="center"/>
      <protection locked="0"/>
    </xf>
    <xf numFmtId="0" fontId="20" fillId="18" borderId="19" xfId="71" applyFont="1" applyFill="1" applyBorder="1" applyAlignment="1" applyProtection="1">
      <alignment horizontal="left" vertical="center"/>
      <protection locked="0"/>
    </xf>
    <xf numFmtId="0" fontId="16" fillId="0" borderId="23" xfId="71" applyFont="1" applyFill="1" applyBorder="1" applyAlignment="1" applyProtection="1">
      <alignment horizontal="left" vertical="center"/>
      <protection locked="0"/>
    </xf>
    <xf numFmtId="0" fontId="0" fillId="0" borderId="0" xfId="71" applyFill="1" applyBorder="1" applyAlignment="1" applyProtection="1">
      <alignment/>
      <protection locked="0"/>
    </xf>
    <xf numFmtId="0" fontId="43" fillId="18" borderId="24" xfId="71" applyFont="1" applyFill="1" applyBorder="1" applyAlignment="1" applyProtection="1">
      <alignment horizontal="left" vertical="center"/>
      <protection locked="0"/>
    </xf>
    <xf numFmtId="0" fontId="20" fillId="18" borderId="25" xfId="71" applyFont="1" applyFill="1" applyBorder="1" applyAlignment="1" applyProtection="1">
      <alignment vertical="center"/>
      <protection locked="0"/>
    </xf>
    <xf numFmtId="0" fontId="44" fillId="18" borderId="26" xfId="71" applyFont="1" applyFill="1" applyBorder="1" applyAlignment="1" applyProtection="1">
      <alignment horizontal="left" vertical="center"/>
      <protection locked="0"/>
    </xf>
    <xf numFmtId="0" fontId="20" fillId="18" borderId="25" xfId="71" applyFont="1" applyFill="1" applyBorder="1" applyAlignment="1" applyProtection="1">
      <alignment horizontal="left" vertical="center"/>
      <protection locked="0"/>
    </xf>
    <xf numFmtId="0" fontId="20" fillId="18" borderId="27" xfId="71" applyFont="1" applyFill="1" applyBorder="1" applyAlignment="1" applyProtection="1">
      <alignment horizontal="left" vertical="center"/>
      <protection locked="0"/>
    </xf>
    <xf numFmtId="0" fontId="43" fillId="18" borderId="12" xfId="71" applyFont="1" applyFill="1" applyBorder="1" applyAlignment="1" applyProtection="1">
      <alignment horizontal="left" vertical="center"/>
      <protection locked="0"/>
    </xf>
    <xf numFmtId="0" fontId="43" fillId="18" borderId="14" xfId="71" applyFont="1" applyFill="1" applyBorder="1" applyAlignment="1" applyProtection="1">
      <alignment horizontal="left" vertical="center"/>
      <protection locked="0"/>
    </xf>
    <xf numFmtId="0" fontId="0" fillId="0" borderId="0" xfId="0" applyFont="1" applyAlignment="1" quotePrefix="1">
      <alignment horizontal="center" vertical="top"/>
    </xf>
    <xf numFmtId="0" fontId="0" fillId="0" borderId="13" xfId="71" applyFont="1" applyFill="1" applyBorder="1" applyAlignment="1" applyProtection="1">
      <alignment horizontal="left" vertical="center"/>
      <protection locked="0"/>
    </xf>
    <xf numFmtId="0" fontId="0" fillId="0" borderId="13" xfId="71" applyFont="1" applyFill="1" applyBorder="1" applyAlignment="1" applyProtection="1">
      <alignment vertical="center"/>
      <protection locked="0"/>
    </xf>
    <xf numFmtId="0" fontId="0" fillId="0" borderId="0" xfId="0" applyFont="1" applyAlignment="1" quotePrefix="1">
      <alignment horizontal="center" vertical="center"/>
    </xf>
    <xf numFmtId="0" fontId="2" fillId="0" borderId="0" xfId="0" applyFont="1" applyBorder="1" applyAlignment="1">
      <alignment horizontal="center"/>
    </xf>
    <xf numFmtId="0" fontId="2" fillId="0" borderId="0" xfId="0" applyFont="1" applyBorder="1" applyAlignment="1">
      <alignment/>
    </xf>
    <xf numFmtId="0" fontId="0" fillId="0" borderId="0" xfId="0" applyFont="1" applyBorder="1" applyAlignment="1" applyProtection="1">
      <alignment horizontal="left" vertical="center" wrapText="1"/>
      <protection/>
    </xf>
    <xf numFmtId="0" fontId="2" fillId="0" borderId="0" xfId="0" applyFont="1" applyFill="1" applyBorder="1" applyAlignment="1">
      <alignment horizontal="right"/>
    </xf>
    <xf numFmtId="42" fontId="0" fillId="0" borderId="0" xfId="47" applyNumberFormat="1" applyFont="1" applyFill="1" applyBorder="1" applyAlignment="1">
      <alignment horizontal="right"/>
    </xf>
    <xf numFmtId="0" fontId="4" fillId="0" borderId="0" xfId="71" applyFont="1">
      <alignment/>
      <protection/>
    </xf>
    <xf numFmtId="0" fontId="0" fillId="0" borderId="28" xfId="71" applyFont="1" applyFill="1" applyBorder="1" applyAlignment="1" applyProtection="1">
      <alignment horizontal="left" vertical="center"/>
      <protection locked="0"/>
    </xf>
    <xf numFmtId="0" fontId="0" fillId="0" borderId="29" xfId="71" applyFont="1" applyFill="1" applyBorder="1" applyAlignment="1" applyProtection="1">
      <alignment horizontal="left" vertical="center"/>
      <protection locked="0"/>
    </xf>
    <xf numFmtId="0" fontId="0" fillId="0" borderId="29" xfId="71" applyFont="1" applyFill="1" applyBorder="1" applyAlignment="1" applyProtection="1">
      <alignment horizontal="left" vertical="center" wrapText="1"/>
      <protection locked="0"/>
    </xf>
    <xf numFmtId="0" fontId="0" fillId="0" borderId="30" xfId="71" applyFont="1" applyFill="1" applyBorder="1" applyAlignment="1" applyProtection="1">
      <alignment horizontal="left" vertical="center"/>
      <protection locked="0"/>
    </xf>
    <xf numFmtId="0" fontId="9" fillId="0" borderId="12" xfId="62" applyFont="1" applyFill="1" applyBorder="1" applyAlignment="1" applyProtection="1">
      <alignment horizontal="left" vertical="center"/>
      <protection locked="0"/>
    </xf>
    <xf numFmtId="0" fontId="0" fillId="0" borderId="31" xfId="71" applyFont="1" applyFill="1" applyBorder="1" applyAlignment="1" applyProtection="1">
      <alignment horizontal="left" vertical="center"/>
      <protection locked="0"/>
    </xf>
    <xf numFmtId="0" fontId="0" fillId="0" borderId="32" xfId="71" applyFont="1" applyFill="1" applyBorder="1" applyAlignment="1" applyProtection="1">
      <alignment horizontal="left" vertical="center"/>
      <protection locked="0"/>
    </xf>
    <xf numFmtId="0" fontId="36" fillId="0" borderId="30" xfId="71" applyFont="1" applyFill="1" applyBorder="1" applyAlignment="1" applyProtection="1">
      <alignment horizontal="left" vertical="center"/>
      <protection locked="0"/>
    </xf>
    <xf numFmtId="0" fontId="0" fillId="0" borderId="13" xfId="71" applyFont="1" applyFill="1" applyBorder="1" applyProtection="1">
      <alignment/>
      <protection locked="0"/>
    </xf>
    <xf numFmtId="0" fontId="0" fillId="0" borderId="33" xfId="71" applyFont="1" applyFill="1" applyBorder="1" applyAlignment="1" applyProtection="1">
      <alignment horizontal="left" vertical="center"/>
      <protection locked="0"/>
    </xf>
    <xf numFmtId="0" fontId="0" fillId="0" borderId="21" xfId="71" applyFont="1" applyFill="1" applyBorder="1" applyAlignment="1" applyProtection="1">
      <alignment horizontal="left" vertical="center"/>
      <protection locked="0"/>
    </xf>
    <xf numFmtId="0" fontId="36" fillId="0" borderId="0" xfId="71" applyFont="1" applyAlignment="1">
      <alignment vertical="center"/>
      <protection/>
    </xf>
    <xf numFmtId="0" fontId="3" fillId="0" borderId="0" xfId="71" applyFont="1">
      <alignment/>
      <protection/>
    </xf>
    <xf numFmtId="0" fontId="4" fillId="0" borderId="0" xfId="71" applyFont="1" applyFill="1" applyProtection="1">
      <alignment/>
      <protection locked="0"/>
    </xf>
    <xf numFmtId="0" fontId="4" fillId="0" borderId="0" xfId="71" applyFont="1" applyAlignment="1">
      <alignment horizontal="right"/>
      <protection/>
    </xf>
    <xf numFmtId="0" fontId="4" fillId="0" borderId="0" xfId="71" applyFont="1" applyFill="1" applyBorder="1" applyProtection="1">
      <alignment/>
      <protection locked="0"/>
    </xf>
    <xf numFmtId="0" fontId="0" fillId="0" borderId="34" xfId="71" applyFont="1" applyFill="1" applyBorder="1" applyAlignment="1">
      <alignment vertical="center"/>
      <protection/>
    </xf>
    <xf numFmtId="0" fontId="0" fillId="0" borderId="0" xfId="0" applyFont="1" applyAlignment="1">
      <alignment horizontal="left"/>
    </xf>
    <xf numFmtId="0" fontId="9" fillId="0" borderId="0" xfId="62" applyAlignment="1" applyProtection="1">
      <alignment/>
      <protection/>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0" fillId="0" borderId="14" xfId="0" applyFont="1" applyBorder="1" applyAlignment="1">
      <alignment/>
    </xf>
    <xf numFmtId="0" fontId="0" fillId="15" borderId="11" xfId="0" applyFont="1" applyFill="1" applyBorder="1" applyAlignment="1">
      <alignment horizontal="left"/>
    </xf>
    <xf numFmtId="0" fontId="0" fillId="15" borderId="12" xfId="0" applyFont="1" applyFill="1" applyBorder="1" applyAlignment="1">
      <alignment horizontal="centerContinuous"/>
    </xf>
    <xf numFmtId="0" fontId="0" fillId="15" borderId="10" xfId="0" applyFont="1" applyFill="1" applyBorder="1" applyAlignment="1">
      <alignment horizontal="center" wrapText="1"/>
    </xf>
    <xf numFmtId="0" fontId="0" fillId="0" borderId="35" xfId="0" applyFill="1" applyBorder="1" applyAlignment="1">
      <alignment/>
    </xf>
    <xf numFmtId="0" fontId="0" fillId="0" borderId="36" xfId="0" applyBorder="1" applyAlignment="1">
      <alignment/>
    </xf>
    <xf numFmtId="0" fontId="0" fillId="0" borderId="37" xfId="0" applyBorder="1" applyAlignment="1">
      <alignment/>
    </xf>
    <xf numFmtId="0" fontId="0" fillId="0" borderId="38" xfId="0" applyFill="1" applyBorder="1" applyAlignment="1">
      <alignment/>
    </xf>
    <xf numFmtId="0" fontId="0" fillId="0" borderId="39" xfId="0" applyBorder="1" applyAlignment="1">
      <alignment/>
    </xf>
    <xf numFmtId="0" fontId="0" fillId="0" borderId="40" xfId="0" applyFill="1" applyBorder="1" applyAlignment="1">
      <alignment/>
    </xf>
    <xf numFmtId="0" fontId="0" fillId="0" borderId="41" xfId="0" applyBorder="1" applyAlignment="1">
      <alignment/>
    </xf>
    <xf numFmtId="0" fontId="0" fillId="0" borderId="42" xfId="0" applyBorder="1" applyAlignment="1">
      <alignment/>
    </xf>
    <xf numFmtId="171" fontId="0" fillId="0" borderId="0" xfId="0" applyNumberFormat="1" applyBorder="1" applyAlignment="1">
      <alignment/>
    </xf>
    <xf numFmtId="0" fontId="46" fillId="0" borderId="0" xfId="0" applyFont="1" applyBorder="1" applyAlignment="1">
      <alignment/>
    </xf>
    <xf numFmtId="0" fontId="1" fillId="0" borderId="0" xfId="0" applyFont="1" applyBorder="1" applyAlignment="1">
      <alignment/>
    </xf>
    <xf numFmtId="0" fontId="1" fillId="0" borderId="39" xfId="0" applyFont="1" applyBorder="1" applyAlignment="1">
      <alignment/>
    </xf>
    <xf numFmtId="0" fontId="1" fillId="0" borderId="0" xfId="0" applyFont="1" applyAlignment="1">
      <alignment/>
    </xf>
    <xf numFmtId="0" fontId="0" fillId="0" borderId="0" xfId="0" applyAlignment="1">
      <alignment horizontal="left" vertical="center" wrapText="1"/>
    </xf>
    <xf numFmtId="0" fontId="0" fillId="0" borderId="0" xfId="71" applyFont="1" applyBorder="1">
      <alignment/>
      <protection/>
    </xf>
    <xf numFmtId="0" fontId="0" fillId="0" borderId="33" xfId="71" applyFont="1" applyFill="1" applyBorder="1" applyProtection="1">
      <alignment/>
      <protection locked="0"/>
    </xf>
    <xf numFmtId="0" fontId="0" fillId="0" borderId="43" xfId="71" applyFont="1" applyFill="1" applyBorder="1" applyAlignment="1" applyProtection="1">
      <alignment horizontal="left" vertical="center"/>
      <protection locked="0"/>
    </xf>
    <xf numFmtId="0" fontId="0" fillId="0" borderId="17" xfId="71" applyFont="1" applyFill="1" applyBorder="1" applyAlignment="1" applyProtection="1">
      <alignment horizontal="left" vertical="center"/>
      <protection locked="0"/>
    </xf>
    <xf numFmtId="0" fontId="0" fillId="0" borderId="44" xfId="71" applyFont="1" applyFill="1" applyBorder="1" applyAlignment="1" applyProtection="1">
      <alignment horizontal="left" vertical="center"/>
      <protection locked="0"/>
    </xf>
    <xf numFmtId="0" fontId="43" fillId="18" borderId="22" xfId="71" applyFont="1" applyFill="1" applyBorder="1" applyAlignment="1" applyProtection="1">
      <alignment horizontal="left" vertical="center"/>
      <protection locked="0"/>
    </xf>
    <xf numFmtId="0" fontId="43" fillId="0" borderId="0" xfId="71" applyFont="1" applyFill="1" applyBorder="1" applyAlignment="1" applyProtection="1">
      <alignment horizontal="left" vertical="center"/>
      <protection locked="0"/>
    </xf>
    <xf numFmtId="0" fontId="43" fillId="0" borderId="18" xfId="71" applyFont="1" applyFill="1" applyBorder="1" applyAlignment="1" applyProtection="1">
      <alignment horizontal="left" vertical="center"/>
      <protection locked="0"/>
    </xf>
    <xf numFmtId="0" fontId="43" fillId="0" borderId="22" xfId="71" applyFont="1" applyFill="1" applyBorder="1" applyAlignment="1" applyProtection="1">
      <alignment horizontal="left" vertical="center"/>
      <protection locked="0"/>
    </xf>
    <xf numFmtId="3" fontId="0" fillId="0" borderId="0" xfId="0" applyNumberFormat="1" applyFont="1" applyBorder="1" applyAlignment="1">
      <alignment horizontal="left"/>
    </xf>
    <xf numFmtId="0" fontId="0" fillId="0" borderId="0" xfId="0" applyFont="1" applyFill="1" applyBorder="1" applyAlignment="1">
      <alignment/>
    </xf>
    <xf numFmtId="178" fontId="106" fillId="0" borderId="0" xfId="0" applyNumberFormat="1" applyFont="1" applyBorder="1" applyAlignment="1">
      <alignment/>
    </xf>
    <xf numFmtId="0" fontId="21" fillId="0" borderId="0" xfId="0" applyFont="1" applyAlignment="1">
      <alignment/>
    </xf>
    <xf numFmtId="0" fontId="2" fillId="0" borderId="0" xfId="0" applyFont="1" applyAlignment="1" applyProtection="1">
      <alignment vertical="center"/>
      <protection/>
    </xf>
    <xf numFmtId="0" fontId="36" fillId="0" borderId="0" xfId="0" applyFont="1" applyAlignment="1">
      <alignment/>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left" vertical="center" wrapText="1"/>
    </xf>
    <xf numFmtId="8" fontId="0" fillId="0" borderId="11" xfId="0" applyNumberFormat="1" applyFont="1" applyBorder="1" applyAlignment="1">
      <alignment horizontal="right" vertical="center" wrapText="1"/>
    </xf>
    <xf numFmtId="0" fontId="0" fillId="0" borderId="0" xfId="0" applyFill="1" applyBorder="1" applyAlignment="1">
      <alignment horizontal="center"/>
    </xf>
    <xf numFmtId="172" fontId="0" fillId="0" borderId="0" xfId="47" applyNumberFormat="1" applyFill="1" applyBorder="1" applyAlignment="1">
      <alignment/>
    </xf>
    <xf numFmtId="172" fontId="0" fillId="0" borderId="0" xfId="0" applyNumberFormat="1" applyFill="1" applyBorder="1" applyAlignment="1">
      <alignment horizontal="left" vertical="center"/>
    </xf>
    <xf numFmtId="0" fontId="0" fillId="0" borderId="0" xfId="0" applyFont="1" applyFill="1" applyBorder="1" applyAlignment="1">
      <alignment horizontal="left" vertical="center"/>
    </xf>
    <xf numFmtId="0" fontId="35" fillId="0" borderId="0" xfId="0" applyFont="1" applyFill="1" applyBorder="1" applyAlignment="1">
      <alignment horizontal="left"/>
    </xf>
    <xf numFmtId="172" fontId="35" fillId="0" borderId="0" xfId="47" applyNumberFormat="1" applyFont="1" applyFill="1" applyBorder="1" applyAlignment="1">
      <alignment horizontal="left"/>
    </xf>
    <xf numFmtId="172" fontId="35" fillId="0" borderId="0" xfId="0" applyNumberFormat="1" applyFont="1" applyFill="1" applyBorder="1" applyAlignment="1">
      <alignment horizontal="left" vertical="center"/>
    </xf>
    <xf numFmtId="178" fontId="2" fillId="0" borderId="0" xfId="0" applyNumberFormat="1" applyFont="1" applyFill="1" applyBorder="1" applyAlignment="1">
      <alignment/>
    </xf>
    <xf numFmtId="44" fontId="2" fillId="0" borderId="0" xfId="47" applyFont="1" applyFill="1" applyBorder="1" applyAlignment="1">
      <alignment horizontal="center"/>
    </xf>
    <xf numFmtId="0" fontId="9" fillId="0" borderId="10" xfId="62" applyFont="1" applyBorder="1" applyAlignment="1" applyProtection="1">
      <alignment horizontal="left" vertical="center" wrapText="1"/>
      <protection/>
    </xf>
    <xf numFmtId="0" fontId="4" fillId="0" borderId="0" xfId="73" applyFont="1" applyAlignment="1" applyProtection="1">
      <alignment vertical="center"/>
      <protection/>
    </xf>
    <xf numFmtId="0" fontId="4" fillId="0" borderId="0" xfId="73" applyFont="1" applyAlignment="1" applyProtection="1" quotePrefix="1">
      <alignment horizontal="right" vertical="center"/>
      <protection/>
    </xf>
    <xf numFmtId="0" fontId="4" fillId="0" borderId="0" xfId="73" applyFont="1" applyAlignment="1" applyProtection="1">
      <alignment horizontal="center" vertical="center"/>
      <protection/>
    </xf>
    <xf numFmtId="0" fontId="4" fillId="0" borderId="0" xfId="73" applyFont="1" applyBorder="1" applyAlignment="1" applyProtection="1" quotePrefix="1">
      <alignment horizontal="right" vertical="center"/>
      <protection/>
    </xf>
    <xf numFmtId="0" fontId="4" fillId="0" borderId="0" xfId="73" applyFont="1" applyBorder="1" applyAlignment="1" applyProtection="1">
      <alignment vertical="center"/>
      <protection/>
    </xf>
    <xf numFmtId="0" fontId="4" fillId="0" borderId="0" xfId="73" applyFont="1" applyBorder="1" applyAlignment="1" applyProtection="1">
      <alignment horizontal="center" vertical="center"/>
      <protection/>
    </xf>
    <xf numFmtId="0" fontId="2" fillId="0" borderId="0" xfId="73" applyFont="1" applyAlignment="1" applyProtection="1">
      <alignment vertical="center"/>
      <protection/>
    </xf>
    <xf numFmtId="0" fontId="0" fillId="0" borderId="0" xfId="73" applyFont="1" applyAlignment="1" applyProtection="1">
      <alignment vertical="center"/>
      <protection/>
    </xf>
    <xf numFmtId="0" fontId="0" fillId="0" borderId="0" xfId="73" applyFont="1" applyAlignment="1" applyProtection="1" quotePrefix="1">
      <alignment horizontal="right" vertical="center"/>
      <protection/>
    </xf>
    <xf numFmtId="0" fontId="0" fillId="0" borderId="0" xfId="73" applyFont="1" applyFill="1">
      <alignment/>
      <protection/>
    </xf>
    <xf numFmtId="0" fontId="0" fillId="0" borderId="0" xfId="73" applyFont="1" applyFill="1" applyAlignment="1" applyProtection="1">
      <alignment vertical="center"/>
      <protection/>
    </xf>
    <xf numFmtId="0" fontId="0" fillId="0" borderId="0" xfId="73" applyFont="1" applyFill="1" applyAlignment="1" applyProtection="1" quotePrefix="1">
      <alignment horizontal="right" vertical="center"/>
      <protection/>
    </xf>
    <xf numFmtId="0" fontId="0" fillId="0" borderId="0" xfId="73" applyFont="1" applyAlignment="1" applyProtection="1">
      <alignment horizontal="center" vertical="center"/>
      <protection/>
    </xf>
    <xf numFmtId="0" fontId="0" fillId="0" borderId="0" xfId="73" applyFont="1" applyBorder="1" applyAlignment="1" applyProtection="1">
      <alignment horizontal="left" vertical="center"/>
      <protection/>
    </xf>
    <xf numFmtId="0" fontId="0" fillId="0" borderId="0" xfId="73" applyFont="1" applyFill="1" applyBorder="1" applyAlignment="1" applyProtection="1">
      <alignment vertical="center" wrapText="1"/>
      <protection hidden="1"/>
    </xf>
    <xf numFmtId="0" fontId="0" fillId="0" borderId="0" xfId="73" applyFont="1" applyFill="1" applyBorder="1" applyAlignment="1" applyProtection="1">
      <alignment vertical="center" wrapText="1"/>
      <protection/>
    </xf>
    <xf numFmtId="0" fontId="0" fillId="0" borderId="0" xfId="73" applyFont="1" applyBorder="1" applyAlignment="1" applyProtection="1" quotePrefix="1">
      <alignment horizontal="right" vertical="center"/>
      <protection/>
    </xf>
    <xf numFmtId="0" fontId="0" fillId="0" borderId="0" xfId="73" applyFont="1" applyBorder="1" applyAlignment="1" applyProtection="1">
      <alignment vertical="center"/>
      <protection/>
    </xf>
    <xf numFmtId="0" fontId="0" fillId="0" borderId="0" xfId="73" applyFont="1" applyBorder="1" applyAlignment="1" applyProtection="1">
      <alignment horizontal="center" vertical="center"/>
      <protection/>
    </xf>
    <xf numFmtId="0" fontId="0" fillId="0" borderId="0" xfId="0" applyFont="1" applyFill="1" applyBorder="1" applyAlignment="1" applyProtection="1">
      <alignment horizontal="left" vertical="top"/>
      <protection hidden="1"/>
    </xf>
    <xf numFmtId="0" fontId="0" fillId="0" borderId="0" xfId="0" applyFont="1" applyFill="1" applyBorder="1" applyAlignment="1" applyProtection="1">
      <alignment horizontal="left" vertical="top"/>
      <protection locked="0"/>
    </xf>
    <xf numFmtId="0" fontId="0" fillId="0" borderId="0" xfId="0" applyFont="1" applyAlignment="1">
      <alignment horizontal="center" vertical="center"/>
    </xf>
    <xf numFmtId="0" fontId="0" fillId="0" borderId="0" xfId="0" applyFont="1" applyAlignment="1">
      <alignment horizontal="left" vertical="top"/>
    </xf>
    <xf numFmtId="0" fontId="0" fillId="0" borderId="0" xfId="0" applyFont="1" applyFill="1" applyBorder="1" applyAlignment="1" applyProtection="1">
      <alignment vertical="top"/>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center" vertical="center"/>
      <protection hidden="1"/>
    </xf>
    <xf numFmtId="0" fontId="48" fillId="0" borderId="0" xfId="71" applyFont="1" applyAlignment="1" applyProtection="1">
      <alignment/>
      <protection/>
    </xf>
    <xf numFmtId="0" fontId="0" fillId="5" borderId="11" xfId="0" applyFont="1" applyFill="1" applyBorder="1" applyAlignment="1">
      <alignment/>
    </xf>
    <xf numFmtId="0" fontId="0" fillId="5" borderId="14" xfId="0" applyFill="1" applyBorder="1" applyAlignment="1">
      <alignment/>
    </xf>
    <xf numFmtId="176" fontId="21" fillId="2" borderId="45" xfId="42" applyNumberFormat="1" applyFont="1" applyFill="1" applyBorder="1" applyAlignment="1" applyProtection="1">
      <alignment horizontal="center" vertical="center" shrinkToFit="1"/>
      <protection/>
    </xf>
    <xf numFmtId="3" fontId="21" fillId="2" borderId="45" xfId="42" applyNumberFormat="1" applyFont="1" applyFill="1" applyBorder="1" applyAlignment="1" applyProtection="1">
      <alignment horizontal="center" vertical="center" shrinkToFit="1"/>
      <protection/>
    </xf>
    <xf numFmtId="173" fontId="29" fillId="0" borderId="0" xfId="73" applyNumberFormat="1" applyFont="1" applyFill="1" applyBorder="1" applyAlignment="1" applyProtection="1">
      <alignment horizontal="center" vertical="center"/>
      <protection locked="0"/>
    </xf>
    <xf numFmtId="0" fontId="29" fillId="0" borderId="22" xfId="73" applyFont="1" applyFill="1" applyBorder="1" applyAlignment="1" applyProtection="1">
      <alignment horizontal="left" vertical="center"/>
      <protection locked="0"/>
    </xf>
    <xf numFmtId="0" fontId="29" fillId="0" borderId="0" xfId="73" applyFont="1" applyFill="1" applyBorder="1" applyAlignment="1" applyProtection="1">
      <alignment horizontal="center" vertical="center"/>
      <protection locked="0"/>
    </xf>
    <xf numFmtId="0" fontId="43" fillId="0" borderId="13" xfId="71" applyFont="1" applyFill="1" applyBorder="1" applyAlignment="1" applyProtection="1">
      <alignment horizontal="left" vertical="center"/>
      <protection locked="0"/>
    </xf>
    <xf numFmtId="0" fontId="43" fillId="0" borderId="21" xfId="71" applyFont="1" applyFill="1" applyBorder="1" applyAlignment="1" applyProtection="1">
      <alignment horizontal="left" vertical="center"/>
      <protection locked="0"/>
    </xf>
    <xf numFmtId="0" fontId="4" fillId="0" borderId="12" xfId="73" applyFont="1" applyFill="1" applyBorder="1" applyAlignment="1" applyProtection="1">
      <alignment vertical="center"/>
      <protection locked="0"/>
    </xf>
    <xf numFmtId="0" fontId="0" fillId="0" borderId="0" xfId="73" applyFont="1" applyFill="1" applyBorder="1" applyAlignment="1" applyProtection="1">
      <alignment horizontal="left" vertical="top" wrapText="1"/>
      <protection/>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0" fontId="0" fillId="0" borderId="0" xfId="0" applyAlignment="1">
      <alignment vertical="center"/>
    </xf>
    <xf numFmtId="0" fontId="2" fillId="0" borderId="0" xfId="0" applyFont="1" applyAlignment="1">
      <alignment vertical="center"/>
    </xf>
    <xf numFmtId="0" fontId="0" fillId="2" borderId="19" xfId="0" applyFont="1" applyFill="1" applyBorder="1" applyAlignment="1">
      <alignment horizontal="center" wrapText="1"/>
    </xf>
    <xf numFmtId="0" fontId="0" fillId="0" borderId="0" xfId="0" applyFont="1" applyFill="1" applyBorder="1" applyAlignment="1" applyProtection="1" quotePrefix="1">
      <alignment horizontal="center"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center" vertical="top"/>
      <protection hidden="1"/>
    </xf>
    <xf numFmtId="0" fontId="0" fillId="0" borderId="0" xfId="0" applyFont="1" applyFill="1" applyBorder="1" applyAlignment="1" applyProtection="1" quotePrefix="1">
      <alignment horizontal="center" vertical="top"/>
      <protection hidden="1"/>
    </xf>
    <xf numFmtId="0" fontId="2" fillId="0" borderId="10" xfId="71" applyFont="1" applyBorder="1" applyAlignment="1">
      <alignment horizontal="center" vertical="center" wrapText="1"/>
      <protection/>
    </xf>
    <xf numFmtId="0" fontId="21" fillId="0" borderId="0" xfId="0" applyFont="1" applyAlignment="1">
      <alignment horizontal="center"/>
    </xf>
    <xf numFmtId="0" fontId="29" fillId="2" borderId="46" xfId="0" applyFont="1" applyFill="1" applyBorder="1" applyAlignment="1">
      <alignment horizontal="center"/>
    </xf>
    <xf numFmtId="0" fontId="29" fillId="2" borderId="47" xfId="0" applyFont="1" applyFill="1" applyBorder="1" applyAlignment="1">
      <alignment horizontal="center"/>
    </xf>
    <xf numFmtId="0" fontId="29" fillId="2" borderId="48" xfId="0" applyFont="1" applyFill="1" applyBorder="1" applyAlignment="1">
      <alignment horizontal="center"/>
    </xf>
    <xf numFmtId="44" fontId="107" fillId="0" borderId="0" xfId="47" applyFont="1" applyFill="1" applyBorder="1" applyAlignment="1">
      <alignment horizontal="center"/>
    </xf>
    <xf numFmtId="0" fontId="2" fillId="2" borderId="35" xfId="71" applyFont="1" applyFill="1" applyBorder="1">
      <alignment/>
      <protection/>
    </xf>
    <xf numFmtId="0" fontId="3" fillId="2" borderId="36" xfId="71" applyFont="1" applyFill="1" applyBorder="1">
      <alignment/>
      <protection/>
    </xf>
    <xf numFmtId="0" fontId="4" fillId="2" borderId="36" xfId="71" applyFont="1" applyFill="1" applyBorder="1">
      <alignment/>
      <protection/>
    </xf>
    <xf numFmtId="0" fontId="0" fillId="2" borderId="36" xfId="0" applyFont="1" applyFill="1" applyBorder="1" applyAlignment="1">
      <alignment/>
    </xf>
    <xf numFmtId="0" fontId="0" fillId="2" borderId="38" xfId="0" applyFont="1" applyFill="1" applyBorder="1" applyAlignment="1">
      <alignment horizontal="center"/>
    </xf>
    <xf numFmtId="0" fontId="0" fillId="2" borderId="0" xfId="0" applyFont="1" applyFill="1" applyBorder="1" applyAlignment="1">
      <alignment/>
    </xf>
    <xf numFmtId="0" fontId="0" fillId="2" borderId="0" xfId="0" applyFont="1" applyFill="1" applyBorder="1" applyAlignment="1">
      <alignment horizontal="center"/>
    </xf>
    <xf numFmtId="0" fontId="2" fillId="2" borderId="38" xfId="0" applyFont="1" applyFill="1" applyBorder="1" applyAlignment="1">
      <alignment/>
    </xf>
    <xf numFmtId="0" fontId="3" fillId="2" borderId="0" xfId="0" applyFont="1" applyFill="1" applyBorder="1" applyAlignment="1">
      <alignment/>
    </xf>
    <xf numFmtId="0" fontId="3" fillId="2" borderId="0" xfId="71" applyFont="1" applyFill="1" applyBorder="1">
      <alignment/>
      <protection/>
    </xf>
    <xf numFmtId="0" fontId="0" fillId="2" borderId="40" xfId="0" applyFont="1" applyFill="1" applyBorder="1" applyAlignment="1">
      <alignment horizontal="center"/>
    </xf>
    <xf numFmtId="0" fontId="0" fillId="2" borderId="41" xfId="0" applyFont="1" applyFill="1" applyBorder="1" applyAlignment="1">
      <alignment horizontal="center"/>
    </xf>
    <xf numFmtId="44" fontId="4" fillId="2" borderId="41" xfId="47" applyFont="1" applyFill="1" applyBorder="1" applyAlignment="1">
      <alignment horizontal="center"/>
    </xf>
    <xf numFmtId="0" fontId="0" fillId="2" borderId="41" xfId="0" applyFont="1" applyFill="1" applyBorder="1" applyAlignment="1">
      <alignment/>
    </xf>
    <xf numFmtId="0" fontId="4" fillId="2" borderId="37" xfId="71" applyFont="1" applyFill="1" applyBorder="1">
      <alignment/>
      <protection/>
    </xf>
    <xf numFmtId="0" fontId="0" fillId="2" borderId="39" xfId="0" applyFont="1" applyFill="1" applyBorder="1" applyAlignment="1">
      <alignment/>
    </xf>
    <xf numFmtId="0" fontId="3" fillId="2" borderId="39" xfId="71" applyFont="1" applyFill="1" applyBorder="1">
      <alignment/>
      <protection/>
    </xf>
    <xf numFmtId="0" fontId="0" fillId="2" borderId="42" xfId="0" applyFont="1" applyFill="1" applyBorder="1" applyAlignment="1">
      <alignment/>
    </xf>
    <xf numFmtId="0" fontId="0" fillId="2" borderId="49" xfId="0" applyFont="1" applyFill="1" applyBorder="1" applyAlignment="1">
      <alignment horizontal="center"/>
    </xf>
    <xf numFmtId="0" fontId="0" fillId="2" borderId="13" xfId="0" applyFont="1" applyFill="1" applyBorder="1" applyAlignment="1">
      <alignment horizontal="center" wrapText="1"/>
    </xf>
    <xf numFmtId="0" fontId="0" fillId="2" borderId="0" xfId="0" applyFill="1" applyAlignment="1">
      <alignment/>
    </xf>
    <xf numFmtId="0" fontId="36" fillId="15" borderId="0" xfId="71" applyFont="1" applyFill="1" applyBorder="1" applyAlignment="1">
      <alignment horizontal="center" vertical="center"/>
      <protection/>
    </xf>
    <xf numFmtId="0" fontId="105" fillId="0" borderId="0" xfId="0" applyFont="1" applyAlignment="1">
      <alignment/>
    </xf>
    <xf numFmtId="3" fontId="0" fillId="2" borderId="10" xfId="0" applyNumberFormat="1" applyFill="1" applyBorder="1" applyAlignment="1">
      <alignment horizontal="center"/>
    </xf>
    <xf numFmtId="0" fontId="0" fillId="17" borderId="50" xfId="71" applyFont="1" applyFill="1" applyBorder="1" applyAlignment="1" applyProtection="1">
      <alignment horizontal="center" vertical="center"/>
      <protection locked="0"/>
    </xf>
    <xf numFmtId="0" fontId="0" fillId="17" borderId="12" xfId="0" applyFont="1" applyFill="1" applyBorder="1" applyAlignment="1">
      <alignment/>
    </xf>
    <xf numFmtId="0" fontId="2" fillId="17" borderId="12" xfId="0" applyFont="1" applyFill="1" applyBorder="1" applyAlignment="1">
      <alignment/>
    </xf>
    <xf numFmtId="0" fontId="0" fillId="17" borderId="12" xfId="0" applyFont="1" applyFill="1" applyBorder="1" applyAlignment="1" applyProtection="1">
      <alignment vertical="center"/>
      <protection/>
    </xf>
    <xf numFmtId="0" fontId="0" fillId="17" borderId="13" xfId="0" applyFont="1" applyFill="1" applyBorder="1" applyAlignment="1" applyProtection="1">
      <alignment horizontal="left" vertical="center"/>
      <protection locked="0"/>
    </xf>
    <xf numFmtId="0" fontId="0" fillId="17" borderId="13" xfId="0" applyFont="1" applyFill="1" applyBorder="1" applyAlignment="1" applyProtection="1">
      <alignment vertical="center"/>
      <protection locked="0"/>
    </xf>
    <xf numFmtId="0" fontId="0" fillId="17" borderId="12" xfId="0" applyFont="1" applyFill="1" applyBorder="1" applyAlignment="1" applyProtection="1">
      <alignment vertical="center"/>
      <protection locked="0"/>
    </xf>
    <xf numFmtId="173" fontId="29" fillId="17" borderId="11" xfId="73" applyNumberFormat="1" applyFont="1" applyFill="1" applyBorder="1" applyAlignment="1" applyProtection="1">
      <alignment horizontal="center" vertical="center"/>
      <protection locked="0"/>
    </xf>
    <xf numFmtId="173" fontId="29" fillId="17" borderId="14" xfId="73" applyNumberFormat="1" applyFont="1" applyFill="1" applyBorder="1" applyAlignment="1" applyProtection="1">
      <alignment horizontal="center" vertical="center"/>
      <protection locked="0"/>
    </xf>
    <xf numFmtId="176" fontId="29" fillId="17" borderId="10" xfId="42" applyNumberFormat="1" applyFont="1" applyFill="1" applyBorder="1" applyAlignment="1" applyProtection="1">
      <alignment horizontal="center" vertical="center" shrinkToFit="1"/>
      <protection locked="0"/>
    </xf>
    <xf numFmtId="3" fontId="29" fillId="17" borderId="10" xfId="42" applyNumberFormat="1" applyFont="1" applyFill="1" applyBorder="1" applyAlignment="1" applyProtection="1">
      <alignment horizontal="center" vertical="center" shrinkToFit="1"/>
      <protection locked="0"/>
    </xf>
    <xf numFmtId="177" fontId="29" fillId="17" borderId="10" xfId="47" applyNumberFormat="1" applyFont="1" applyFill="1" applyBorder="1" applyAlignment="1" applyProtection="1">
      <alignment horizontal="center" vertical="center" shrinkToFit="1"/>
      <protection locked="0"/>
    </xf>
    <xf numFmtId="177" fontId="29" fillId="17" borderId="51" xfId="47" applyNumberFormat="1" applyFont="1" applyFill="1" applyBorder="1" applyAlignment="1" applyProtection="1">
      <alignment horizontal="center" vertical="center" shrinkToFit="1"/>
      <protection locked="0"/>
    </xf>
    <xf numFmtId="176" fontId="21" fillId="17" borderId="45" xfId="42" applyNumberFormat="1" applyFont="1" applyFill="1" applyBorder="1" applyAlignment="1" applyProtection="1">
      <alignment horizontal="center" vertical="center" shrinkToFit="1"/>
      <protection/>
    </xf>
    <xf numFmtId="3" fontId="21" fillId="17" borderId="45" xfId="42" applyNumberFormat="1" applyFont="1" applyFill="1" applyBorder="1" applyAlignment="1" applyProtection="1">
      <alignment horizontal="center" vertical="center" shrinkToFit="1"/>
      <protection/>
    </xf>
    <xf numFmtId="177" fontId="21" fillId="17" borderId="45" xfId="47" applyNumberFormat="1" applyFont="1" applyFill="1" applyBorder="1" applyAlignment="1" applyProtection="1">
      <alignment horizontal="center" vertical="center" shrinkToFit="1"/>
      <protection/>
    </xf>
    <xf numFmtId="177" fontId="21" fillId="17" borderId="52" xfId="47" applyNumberFormat="1" applyFont="1" applyFill="1" applyBorder="1" applyAlignment="1" applyProtection="1">
      <alignment horizontal="center" vertical="center" shrinkToFit="1"/>
      <protection/>
    </xf>
    <xf numFmtId="42" fontId="2" fillId="5" borderId="11" xfId="47" applyNumberFormat="1" applyFont="1" applyFill="1" applyBorder="1" applyAlignment="1">
      <alignment horizontal="right"/>
    </xf>
    <xf numFmtId="0" fontId="0" fillId="5" borderId="18" xfId="0" applyFill="1" applyBorder="1" applyAlignment="1">
      <alignment/>
    </xf>
    <xf numFmtId="8" fontId="2" fillId="5" borderId="10" xfId="0" applyNumberFormat="1" applyFont="1" applyFill="1" applyBorder="1" applyAlignment="1">
      <alignment horizontal="center" vertical="center"/>
    </xf>
    <xf numFmtId="0" fontId="29" fillId="2" borderId="17" xfId="0" applyFont="1" applyFill="1" applyBorder="1" applyAlignment="1">
      <alignment horizontal="center"/>
    </xf>
    <xf numFmtId="6" fontId="29" fillId="5" borderId="53" xfId="47" applyNumberFormat="1" applyFont="1" applyFill="1" applyBorder="1" applyAlignment="1" applyProtection="1">
      <alignment horizontal="right" vertical="center"/>
      <protection/>
    </xf>
    <xf numFmtId="6" fontId="29" fillId="5" borderId="54" xfId="47" applyNumberFormat="1" applyFont="1" applyFill="1" applyBorder="1" applyAlignment="1" applyProtection="1">
      <alignment horizontal="right" vertical="center"/>
      <protection/>
    </xf>
    <xf numFmtId="6" fontId="21" fillId="5" borderId="55" xfId="47" applyNumberFormat="1" applyFont="1" applyFill="1" applyBorder="1" applyAlignment="1" applyProtection="1">
      <alignment horizontal="right" vertical="center"/>
      <protection/>
    </xf>
    <xf numFmtId="6" fontId="29" fillId="5" borderId="56" xfId="47" applyNumberFormat="1" applyFont="1" applyFill="1" applyBorder="1" applyAlignment="1" applyProtection="1">
      <alignment horizontal="right" vertical="center"/>
      <protection/>
    </xf>
    <xf numFmtId="6" fontId="29" fillId="5" borderId="57" xfId="47" applyNumberFormat="1" applyFont="1" applyFill="1" applyBorder="1" applyAlignment="1" applyProtection="1">
      <alignment horizontal="right" vertical="center"/>
      <protection/>
    </xf>
    <xf numFmtId="0" fontId="27" fillId="5" borderId="58" xfId="0" applyFont="1" applyFill="1" applyBorder="1" applyAlignment="1">
      <alignment vertical="center"/>
    </xf>
    <xf numFmtId="0" fontId="0" fillId="0" borderId="0" xfId="0" applyFont="1" applyBorder="1" applyAlignment="1" applyProtection="1">
      <alignment horizontal="left" vertical="top"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16" fillId="0" borderId="0" xfId="0" applyFont="1" applyFill="1" applyAlignment="1" applyProtection="1">
      <alignment vertical="center"/>
      <protection/>
    </xf>
    <xf numFmtId="0" fontId="2" fillId="0" borderId="0" xfId="0" applyFont="1" applyAlignment="1">
      <alignment vertical="top"/>
    </xf>
    <xf numFmtId="0" fontId="0" fillId="0" borderId="0" xfId="71" applyFill="1" applyBorder="1" applyProtection="1">
      <alignment/>
      <protection locked="0"/>
    </xf>
    <xf numFmtId="0" fontId="2" fillId="0" borderId="0" xfId="0" applyFont="1" applyFill="1" applyBorder="1" applyAlignment="1">
      <alignment/>
    </xf>
    <xf numFmtId="0" fontId="52" fillId="0" borderId="0" xfId="0" applyFont="1" applyAlignment="1">
      <alignment/>
    </xf>
    <xf numFmtId="0" fontId="53" fillId="0" borderId="0" xfId="71" applyFont="1" applyFill="1" applyBorder="1" applyAlignment="1" applyProtection="1">
      <alignment horizontal="left" vertical="center"/>
      <protection locked="0"/>
    </xf>
    <xf numFmtId="0" fontId="52" fillId="0" borderId="0" xfId="0" applyFont="1" applyFill="1" applyAlignment="1">
      <alignment/>
    </xf>
    <xf numFmtId="0" fontId="52" fillId="0" borderId="38" xfId="0" applyFont="1" applyFill="1" applyBorder="1" applyAlignment="1">
      <alignment/>
    </xf>
    <xf numFmtId="0" fontId="37" fillId="0" borderId="0" xfId="0" applyFont="1" applyBorder="1" applyAlignment="1">
      <alignment horizontal="left"/>
    </xf>
    <xf numFmtId="0" fontId="52" fillId="0" borderId="0" xfId="0" applyFont="1" applyBorder="1" applyAlignment="1">
      <alignment/>
    </xf>
    <xf numFmtId="0" fontId="52" fillId="0" borderId="39" xfId="0" applyFont="1" applyBorder="1" applyAlignment="1">
      <alignment/>
    </xf>
    <xf numFmtId="172" fontId="2" fillId="5" borderId="11" xfId="47" applyNumberFormat="1" applyFont="1" applyFill="1" applyBorder="1" applyAlignment="1">
      <alignment horizontal="center"/>
    </xf>
    <xf numFmtId="3" fontId="0" fillId="2" borderId="59" xfId="0" applyNumberFormat="1" applyFill="1" applyBorder="1" applyAlignment="1">
      <alignment horizontal="center"/>
    </xf>
    <xf numFmtId="172" fontId="2" fillId="5" borderId="60" xfId="47" applyNumberFormat="1" applyFont="1" applyFill="1" applyBorder="1" applyAlignment="1">
      <alignment horizontal="center"/>
    </xf>
    <xf numFmtId="0" fontId="0" fillId="0" borderId="0" xfId="0" applyFont="1" applyFill="1" applyBorder="1" applyAlignment="1" applyProtection="1">
      <alignment horizontal="left" vertical="top" wrapText="1"/>
      <protection hidden="1"/>
    </xf>
    <xf numFmtId="0" fontId="0" fillId="0" borderId="0" xfId="0" applyFont="1" applyAlignment="1">
      <alignment wrapText="1"/>
    </xf>
    <xf numFmtId="3" fontId="0" fillId="15" borderId="45" xfId="0" applyNumberFormat="1" applyFill="1" applyBorder="1" applyAlignment="1">
      <alignment horizontal="center"/>
    </xf>
    <xf numFmtId="3" fontId="0" fillId="15" borderId="61" xfId="0" applyNumberFormat="1" applyFill="1" applyBorder="1" applyAlignment="1">
      <alignment horizontal="center"/>
    </xf>
    <xf numFmtId="8" fontId="2" fillId="3" borderId="10" xfId="0" applyNumberFormat="1" applyFont="1" applyFill="1" applyBorder="1" applyAlignment="1">
      <alignment horizontal="center" vertical="center" wrapText="1"/>
    </xf>
    <xf numFmtId="8" fontId="22" fillId="5" borderId="10" xfId="0" applyNumberFormat="1" applyFont="1" applyFill="1" applyBorder="1" applyAlignment="1">
      <alignment horizontal="center" vertical="center"/>
    </xf>
    <xf numFmtId="44" fontId="0" fillId="15" borderId="0" xfId="47" applyFont="1" applyFill="1" applyBorder="1" applyAlignment="1">
      <alignment/>
    </xf>
    <xf numFmtId="0" fontId="0" fillId="15" borderId="0" xfId="71" applyFont="1" applyFill="1" applyBorder="1" applyAlignment="1">
      <alignment vertical="top" wrapText="1"/>
      <protection/>
    </xf>
    <xf numFmtId="0" fontId="4" fillId="15" borderId="0" xfId="71" applyFont="1" applyFill="1" applyBorder="1" applyAlignment="1">
      <alignment vertical="top" wrapText="1"/>
      <protection/>
    </xf>
    <xf numFmtId="0" fontId="0" fillId="15" borderId="0" xfId="71" applyFont="1" applyFill="1" applyBorder="1" applyAlignment="1">
      <alignment vertical="center" wrapText="1"/>
      <protection/>
    </xf>
    <xf numFmtId="0" fontId="0" fillId="15" borderId="0" xfId="0" applyFill="1" applyBorder="1" applyAlignment="1">
      <alignment/>
    </xf>
    <xf numFmtId="0" fontId="108" fillId="0" borderId="0" xfId="0" applyFont="1" applyBorder="1" applyAlignment="1">
      <alignment/>
    </xf>
    <xf numFmtId="42" fontId="2" fillId="5" borderId="23" xfId="0" applyNumberFormat="1" applyFont="1" applyFill="1" applyBorder="1" applyAlignment="1">
      <alignment horizontal="right"/>
    </xf>
    <xf numFmtId="0" fontId="0" fillId="2" borderId="10" xfId="0" applyFont="1" applyFill="1" applyBorder="1" applyAlignment="1">
      <alignment horizontal="center" wrapText="1"/>
    </xf>
    <xf numFmtId="3" fontId="0" fillId="15" borderId="10" xfId="47" applyNumberFormat="1" applyFont="1" applyFill="1" applyBorder="1" applyAlignment="1">
      <alignment horizontal="center"/>
    </xf>
    <xf numFmtId="3" fontId="0" fillId="15" borderId="10" xfId="0" applyNumberFormat="1" applyFont="1" applyFill="1" applyBorder="1" applyAlignment="1">
      <alignment horizontal="center"/>
    </xf>
    <xf numFmtId="171" fontId="0" fillId="0" borderId="10" xfId="0" applyNumberFormat="1" applyBorder="1" applyAlignment="1">
      <alignment horizontal="center" vertical="center"/>
    </xf>
    <xf numFmtId="171" fontId="0" fillId="0" borderId="10" xfId="0" applyNumberFormat="1" applyBorder="1" applyAlignment="1">
      <alignment horizontal="center"/>
    </xf>
    <xf numFmtId="0" fontId="0" fillId="0" borderId="0" xfId="0" applyAlignment="1">
      <alignment horizontal="right"/>
    </xf>
    <xf numFmtId="0" fontId="2" fillId="15" borderId="11" xfId="0" applyFont="1" applyFill="1" applyBorder="1" applyAlignment="1">
      <alignment vertical="center"/>
    </xf>
    <xf numFmtId="0" fontId="2" fillId="15" borderId="12" xfId="0" applyFont="1" applyFill="1" applyBorder="1" applyAlignment="1">
      <alignment vertical="center"/>
    </xf>
    <xf numFmtId="0" fontId="0" fillId="15" borderId="14" xfId="0" applyFont="1" applyFill="1" applyBorder="1" applyAlignment="1">
      <alignment vertical="center"/>
    </xf>
    <xf numFmtId="181" fontId="2" fillId="3" borderId="10" xfId="47" applyNumberFormat="1" applyFont="1" applyFill="1" applyBorder="1" applyAlignment="1">
      <alignment horizontal="center" vertical="center"/>
    </xf>
    <xf numFmtId="0" fontId="0" fillId="19" borderId="0" xfId="0" applyFill="1" applyAlignment="1">
      <alignment/>
    </xf>
    <xf numFmtId="0" fontId="0" fillId="19" borderId="0" xfId="0" applyFill="1" applyBorder="1" applyAlignment="1">
      <alignment/>
    </xf>
    <xf numFmtId="1" fontId="0" fillId="4" borderId="10" xfId="0" applyNumberFormat="1" applyFill="1" applyBorder="1" applyAlignment="1">
      <alignment horizontal="center"/>
    </xf>
    <xf numFmtId="0" fontId="2" fillId="20" borderId="0" xfId="0" applyFont="1" applyFill="1" applyAlignment="1">
      <alignment horizontal="center" vertical="center" wrapText="1"/>
    </xf>
    <xf numFmtId="172" fontId="29" fillId="21" borderId="62" xfId="47" applyNumberFormat="1" applyFont="1" applyFill="1" applyBorder="1" applyAlignment="1">
      <alignment horizontal="center"/>
    </xf>
    <xf numFmtId="172" fontId="29" fillId="21" borderId="46" xfId="47" applyNumberFormat="1" applyFont="1" applyFill="1" applyBorder="1" applyAlignment="1">
      <alignment horizontal="center"/>
    </xf>
    <xf numFmtId="172" fontId="29" fillId="21" borderId="47" xfId="47" applyNumberFormat="1" applyFont="1" applyFill="1" applyBorder="1" applyAlignment="1">
      <alignment horizontal="center"/>
    </xf>
    <xf numFmtId="172" fontId="29" fillId="21" borderId="17" xfId="47" applyNumberFormat="1" applyFont="1" applyFill="1" applyBorder="1" applyAlignment="1">
      <alignment horizontal="center"/>
    </xf>
    <xf numFmtId="172" fontId="29" fillId="21" borderId="16" xfId="47" applyNumberFormat="1" applyFont="1" applyFill="1" applyBorder="1" applyAlignment="1">
      <alignment horizontal="center"/>
    </xf>
    <xf numFmtId="181" fontId="21" fillId="5" borderId="10" xfId="0" applyNumberFormat="1" applyFont="1" applyFill="1" applyBorder="1" applyAlignment="1">
      <alignment horizontal="center" vertical="center" wrapText="1"/>
    </xf>
    <xf numFmtId="181" fontId="21" fillId="8" borderId="10" xfId="0" applyNumberFormat="1" applyFont="1" applyFill="1" applyBorder="1" applyAlignment="1">
      <alignment horizontal="center" vertical="center" wrapText="1"/>
    </xf>
    <xf numFmtId="181" fontId="21" fillId="21" borderId="10" xfId="0" applyNumberFormat="1" applyFont="1" applyFill="1" applyBorder="1" applyAlignment="1">
      <alignment horizontal="center" vertical="center" wrapText="1"/>
    </xf>
    <xf numFmtId="172" fontId="29" fillId="5" borderId="62" xfId="47" applyNumberFormat="1" applyFont="1" applyFill="1" applyBorder="1" applyAlignment="1">
      <alignment horizontal="center" vertical="center"/>
    </xf>
    <xf numFmtId="172" fontId="29" fillId="8" borderId="62" xfId="47" applyNumberFormat="1" applyFont="1" applyFill="1" applyBorder="1" applyAlignment="1">
      <alignment/>
    </xf>
    <xf numFmtId="172" fontId="29" fillId="8" borderId="46" xfId="47" applyNumberFormat="1" applyFont="1" applyFill="1" applyBorder="1" applyAlignment="1">
      <alignment/>
    </xf>
    <xf numFmtId="172" fontId="29" fillId="8" borderId="47" xfId="47" applyNumberFormat="1" applyFont="1" applyFill="1" applyBorder="1" applyAlignment="1">
      <alignment/>
    </xf>
    <xf numFmtId="172" fontId="29" fillId="5" borderId="63" xfId="47" applyNumberFormat="1" applyFont="1" applyFill="1" applyBorder="1" applyAlignment="1">
      <alignment horizontal="center" vertical="center"/>
    </xf>
    <xf numFmtId="172" fontId="29" fillId="5" borderId="64" xfId="47" applyNumberFormat="1" applyFont="1" applyFill="1" applyBorder="1" applyAlignment="1">
      <alignment horizontal="center" vertical="center"/>
    </xf>
    <xf numFmtId="172" fontId="29" fillId="5" borderId="21" xfId="47" applyNumberFormat="1" applyFont="1" applyFill="1" applyBorder="1" applyAlignment="1">
      <alignment horizontal="center" vertical="center"/>
    </xf>
    <xf numFmtId="172" fontId="29" fillId="8" borderId="16" xfId="47" applyNumberFormat="1" applyFont="1" applyFill="1" applyBorder="1" applyAlignment="1">
      <alignment/>
    </xf>
    <xf numFmtId="44" fontId="0" fillId="4" borderId="10" xfId="47" applyFont="1" applyFill="1" applyBorder="1" applyAlignment="1">
      <alignment/>
    </xf>
    <xf numFmtId="44" fontId="0" fillId="19" borderId="0" xfId="47" applyFont="1" applyFill="1" applyBorder="1" applyAlignment="1">
      <alignment/>
    </xf>
    <xf numFmtId="198" fontId="0" fillId="15" borderId="0" xfId="0" applyNumberFormat="1" applyFill="1" applyBorder="1" applyAlignment="1">
      <alignment horizontal="center"/>
    </xf>
    <xf numFmtId="198" fontId="0" fillId="15" borderId="0" xfId="0" applyNumberFormat="1" applyFill="1" applyBorder="1" applyAlignment="1">
      <alignment/>
    </xf>
    <xf numFmtId="0" fontId="0" fillId="17" borderId="65" xfId="71" applyFont="1" applyFill="1" applyBorder="1" applyAlignment="1" applyProtection="1">
      <alignment horizontal="left" vertical="center"/>
      <protection locked="0"/>
    </xf>
    <xf numFmtId="0" fontId="109" fillId="0" borderId="0" xfId="0" applyFont="1" applyAlignment="1">
      <alignment/>
    </xf>
    <xf numFmtId="0" fontId="35" fillId="0" borderId="0" xfId="0" applyFont="1" applyAlignment="1">
      <alignment/>
    </xf>
    <xf numFmtId="178" fontId="109" fillId="0" borderId="0" xfId="0" applyNumberFormat="1" applyFont="1" applyBorder="1" applyAlignment="1">
      <alignment/>
    </xf>
    <xf numFmtId="44" fontId="109" fillId="0" borderId="0" xfId="47" applyFont="1" applyFill="1" applyBorder="1" applyAlignment="1">
      <alignment horizontal="center"/>
    </xf>
    <xf numFmtId="172" fontId="29" fillId="21" borderId="66" xfId="47" applyNumberFormat="1" applyFont="1" applyFill="1" applyBorder="1" applyAlignment="1">
      <alignment horizontal="center"/>
    </xf>
    <xf numFmtId="172" fontId="29" fillId="21" borderId="10" xfId="47" applyNumberFormat="1" applyFont="1" applyFill="1" applyBorder="1" applyAlignment="1">
      <alignment horizontal="center"/>
    </xf>
    <xf numFmtId="2" fontId="0" fillId="20" borderId="11" xfId="0" applyNumberFormat="1" applyFill="1" applyBorder="1" applyAlignment="1">
      <alignment horizontal="center"/>
    </xf>
    <xf numFmtId="0" fontId="2" fillId="2" borderId="11" xfId="0" applyFont="1" applyFill="1" applyBorder="1" applyAlignment="1">
      <alignment horizontal="center" vertical="center"/>
    </xf>
    <xf numFmtId="0" fontId="2" fillId="2" borderId="10" xfId="0" applyFont="1" applyFill="1" applyBorder="1" applyAlignment="1">
      <alignment horizontal="center" wrapText="1"/>
    </xf>
    <xf numFmtId="0" fontId="2" fillId="5" borderId="10" xfId="0" applyFont="1" applyFill="1" applyBorder="1" applyAlignment="1">
      <alignment horizontal="center" wrapText="1"/>
    </xf>
    <xf numFmtId="8" fontId="2" fillId="3" borderId="10" xfId="0" applyNumberFormat="1" applyFont="1" applyFill="1" applyBorder="1" applyAlignment="1">
      <alignment horizontal="center" wrapText="1"/>
    </xf>
    <xf numFmtId="0" fontId="0" fillId="17" borderId="10" xfId="0" applyFill="1" applyBorder="1" applyAlignment="1" applyProtection="1">
      <alignment/>
      <protection locked="0"/>
    </xf>
    <xf numFmtId="3" fontId="0" fillId="17" borderId="10" xfId="0" applyNumberFormat="1" applyFill="1" applyBorder="1" applyAlignment="1" applyProtection="1">
      <alignment horizontal="center"/>
      <protection locked="0"/>
    </xf>
    <xf numFmtId="0" fontId="0" fillId="17" borderId="59" xfId="0" applyFill="1" applyBorder="1" applyAlignment="1" applyProtection="1">
      <alignment/>
      <protection locked="0"/>
    </xf>
    <xf numFmtId="3" fontId="0" fillId="17" borderId="59" xfId="0" applyNumberFormat="1" applyFill="1" applyBorder="1" applyAlignment="1" applyProtection="1">
      <alignment horizontal="center"/>
      <protection locked="0"/>
    </xf>
    <xf numFmtId="0" fontId="29" fillId="17" borderId="62" xfId="0" applyFont="1" applyFill="1" applyBorder="1" applyAlignment="1" applyProtection="1">
      <alignment horizontal="center"/>
      <protection locked="0"/>
    </xf>
    <xf numFmtId="0" fontId="29" fillId="17" borderId="47" xfId="0" applyFont="1" applyFill="1" applyBorder="1" applyAlignment="1" applyProtection="1">
      <alignment horizontal="center"/>
      <protection locked="0"/>
    </xf>
    <xf numFmtId="0" fontId="29" fillId="17" borderId="46" xfId="0" applyFont="1" applyFill="1" applyBorder="1" applyAlignment="1" applyProtection="1">
      <alignment horizontal="center"/>
      <protection locked="0"/>
    </xf>
    <xf numFmtId="0" fontId="29" fillId="17" borderId="17" xfId="0" applyFont="1" applyFill="1" applyBorder="1" applyAlignment="1" applyProtection="1">
      <alignment horizontal="center"/>
      <protection locked="0"/>
    </xf>
    <xf numFmtId="0" fontId="29" fillId="17" borderId="47" xfId="0" applyFont="1" applyFill="1" applyBorder="1" applyAlignment="1" applyProtection="1">
      <alignment/>
      <protection locked="0"/>
    </xf>
    <xf numFmtId="0" fontId="32" fillId="17" borderId="46" xfId="0" applyFont="1" applyFill="1" applyBorder="1" applyAlignment="1" applyProtection="1">
      <alignment horizontal="center"/>
      <protection locked="0"/>
    </xf>
    <xf numFmtId="178" fontId="21" fillId="17" borderId="46" xfId="0" applyNumberFormat="1" applyFont="1" applyFill="1" applyBorder="1" applyAlignment="1" applyProtection="1">
      <alignment horizontal="center"/>
      <protection locked="0"/>
    </xf>
    <xf numFmtId="0" fontId="32" fillId="17" borderId="16" xfId="0" applyFont="1" applyFill="1" applyBorder="1" applyAlignment="1" applyProtection="1">
      <alignment horizontal="center"/>
      <protection locked="0"/>
    </xf>
    <xf numFmtId="172" fontId="0" fillId="15" borderId="10" xfId="47" applyNumberFormat="1" applyFont="1" applyFill="1" applyBorder="1" applyAlignment="1">
      <alignment horizontal="center"/>
    </xf>
    <xf numFmtId="0" fontId="2" fillId="17" borderId="10" xfId="0" applyFont="1" applyFill="1" applyBorder="1" applyAlignment="1" applyProtection="1">
      <alignment horizontal="center" wrapText="1"/>
      <protection locked="0"/>
    </xf>
    <xf numFmtId="1" fontId="2" fillId="0" borderId="12" xfId="0" applyNumberFormat="1" applyFont="1" applyFill="1" applyBorder="1" applyAlignment="1">
      <alignment horizontal="center" vertical="center"/>
    </xf>
    <xf numFmtId="0" fontId="0" fillId="17" borderId="67" xfId="0" applyFont="1" applyFill="1" applyBorder="1" applyAlignment="1" applyProtection="1">
      <alignment horizontal="center" vertical="center" wrapText="1"/>
      <protection locked="0"/>
    </xf>
    <xf numFmtId="0" fontId="0" fillId="17" borderId="68" xfId="0" applyFill="1" applyBorder="1" applyAlignment="1" applyProtection="1">
      <alignment horizontal="center" vertical="center"/>
      <protection locked="0"/>
    </xf>
    <xf numFmtId="0" fontId="0" fillId="17" borderId="68" xfId="0" applyFont="1" applyFill="1" applyBorder="1" applyAlignment="1" applyProtection="1">
      <alignment horizontal="center" vertical="center"/>
      <protection locked="0"/>
    </xf>
    <xf numFmtId="172" fontId="2" fillId="5" borderId="68" xfId="47" applyNumberFormat="1" applyFont="1" applyFill="1" applyBorder="1" applyAlignment="1">
      <alignment horizontal="center" vertical="center"/>
    </xf>
    <xf numFmtId="0" fontId="0" fillId="17" borderId="69" xfId="0" applyFont="1" applyFill="1" applyBorder="1" applyAlignment="1" applyProtection="1">
      <alignment horizontal="center" vertical="center" wrapText="1"/>
      <protection locked="0"/>
    </xf>
    <xf numFmtId="0" fontId="0" fillId="17" borderId="1" xfId="0" applyFill="1" applyBorder="1" applyAlignment="1" applyProtection="1">
      <alignment horizontal="center" vertical="center"/>
      <protection locked="0"/>
    </xf>
    <xf numFmtId="172" fontId="0" fillId="2" borderId="1" xfId="47" applyNumberFormat="1" applyFont="1" applyFill="1" applyBorder="1" applyAlignment="1">
      <alignment horizontal="center" vertical="center"/>
    </xf>
    <xf numFmtId="172" fontId="2" fillId="5" borderId="1" xfId="47" applyNumberFormat="1" applyFont="1" applyFill="1" applyBorder="1" applyAlignment="1">
      <alignment horizontal="center" vertical="center"/>
    </xf>
    <xf numFmtId="3" fontId="0" fillId="3" borderId="1" xfId="47" applyNumberFormat="1" applyFont="1" applyFill="1" applyBorder="1" applyAlignment="1">
      <alignment horizontal="center" vertical="center"/>
    </xf>
    <xf numFmtId="172" fontId="0" fillId="3" borderId="70" xfId="47" applyNumberFormat="1" applyFont="1" applyFill="1" applyBorder="1" applyAlignment="1">
      <alignment horizontal="center" vertical="center"/>
    </xf>
    <xf numFmtId="0" fontId="0" fillId="17" borderId="1" xfId="0" applyFont="1" applyFill="1" applyBorder="1" applyAlignment="1" applyProtection="1">
      <alignment horizontal="center" vertical="center"/>
      <protection locked="0"/>
    </xf>
    <xf numFmtId="0" fontId="0" fillId="17" borderId="69" xfId="0" applyFill="1" applyBorder="1" applyAlignment="1" applyProtection="1">
      <alignment horizontal="center" vertical="center" wrapText="1"/>
      <protection locked="0"/>
    </xf>
    <xf numFmtId="0" fontId="0" fillId="17" borderId="71" xfId="0" applyFill="1" applyBorder="1" applyAlignment="1" applyProtection="1">
      <alignment horizontal="center" vertical="center" wrapText="1"/>
      <protection locked="0"/>
    </xf>
    <xf numFmtId="0" fontId="0" fillId="17" borderId="72" xfId="0" applyFill="1" applyBorder="1" applyAlignment="1" applyProtection="1">
      <alignment horizontal="center" vertical="center"/>
      <protection locked="0"/>
    </xf>
    <xf numFmtId="172" fontId="0" fillId="2" borderId="72" xfId="47" applyNumberFormat="1" applyFont="1" applyFill="1" applyBorder="1" applyAlignment="1">
      <alignment horizontal="center" vertical="center"/>
    </xf>
    <xf numFmtId="172" fontId="2" fillId="5" borderId="72" xfId="47" applyNumberFormat="1" applyFont="1" applyFill="1" applyBorder="1" applyAlignment="1">
      <alignment horizontal="center" vertical="center"/>
    </xf>
    <xf numFmtId="0" fontId="0" fillId="0" borderId="1" xfId="0" applyBorder="1" applyAlignment="1">
      <alignment horizontal="center"/>
    </xf>
    <xf numFmtId="0" fontId="0" fillId="0" borderId="73" xfId="0" applyBorder="1" applyAlignment="1">
      <alignment horizontal="center"/>
    </xf>
    <xf numFmtId="0" fontId="2" fillId="0" borderId="68" xfId="0" applyFont="1" applyBorder="1" applyAlignment="1">
      <alignment horizontal="centerContinuous"/>
    </xf>
    <xf numFmtId="0" fontId="2" fillId="0" borderId="74" xfId="0" applyFont="1" applyBorder="1" applyAlignment="1">
      <alignment horizontal="centerContinuous"/>
    </xf>
    <xf numFmtId="0" fontId="0" fillId="0" borderId="72" xfId="0" applyBorder="1" applyAlignment="1">
      <alignment horizontal="center"/>
    </xf>
    <xf numFmtId="0" fontId="0" fillId="0" borderId="62" xfId="0" applyBorder="1" applyAlignment="1">
      <alignment/>
    </xf>
    <xf numFmtId="0" fontId="2" fillId="0" borderId="46" xfId="0" applyFont="1" applyBorder="1" applyAlignment="1">
      <alignment horizontal="right"/>
    </xf>
    <xf numFmtId="0" fontId="0" fillId="0" borderId="4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47" xfId="0" applyBorder="1" applyAlignment="1">
      <alignment horizontal="center"/>
    </xf>
    <xf numFmtId="0" fontId="2" fillId="0" borderId="48" xfId="0" applyFont="1" applyBorder="1" applyAlignment="1">
      <alignment horizontal="center"/>
    </xf>
    <xf numFmtId="0" fontId="2" fillId="0" borderId="75" xfId="0" applyFont="1" applyBorder="1" applyAlignment="1">
      <alignment horizontal="centerContinuous"/>
    </xf>
    <xf numFmtId="0" fontId="0" fillId="0" borderId="76" xfId="0" applyBorder="1" applyAlignment="1">
      <alignment horizontal="center"/>
    </xf>
    <xf numFmtId="0" fontId="0" fillId="0" borderId="75" xfId="0" applyBorder="1" applyAlignment="1">
      <alignment horizontal="center"/>
    </xf>
    <xf numFmtId="0" fontId="2" fillId="0" borderId="67" xfId="0" applyFont="1" applyBorder="1" applyAlignment="1">
      <alignment horizontal="centerContinuous"/>
    </xf>
    <xf numFmtId="0" fontId="0" fillId="0" borderId="74" xfId="0" applyBorder="1" applyAlignment="1">
      <alignment horizontal="centerContinuous"/>
    </xf>
    <xf numFmtId="0" fontId="0" fillId="6" borderId="70" xfId="0" applyFill="1" applyBorder="1" applyAlignment="1">
      <alignment horizontal="center"/>
    </xf>
    <xf numFmtId="0" fontId="0" fillId="6" borderId="70" xfId="0" applyFill="1" applyBorder="1" applyAlignment="1">
      <alignment horizontal="center" vertical="center"/>
    </xf>
    <xf numFmtId="0" fontId="0" fillId="6" borderId="77" xfId="0" applyFill="1" applyBorder="1" applyAlignment="1">
      <alignment/>
    </xf>
    <xf numFmtId="172" fontId="0" fillId="6" borderId="74" xfId="47" applyNumberFormat="1" applyFill="1" applyBorder="1" applyAlignment="1">
      <alignment/>
    </xf>
    <xf numFmtId="172" fontId="0" fillId="6" borderId="70" xfId="47" applyNumberFormat="1" applyFill="1" applyBorder="1" applyAlignment="1">
      <alignment/>
    </xf>
    <xf numFmtId="172" fontId="0" fillId="6" borderId="77" xfId="47" applyNumberFormat="1" applyFill="1" applyBorder="1" applyAlignment="1">
      <alignment/>
    </xf>
    <xf numFmtId="0" fontId="0" fillId="6" borderId="77" xfId="0" applyFill="1" applyBorder="1" applyAlignment="1">
      <alignment horizontal="center" vertical="center"/>
    </xf>
    <xf numFmtId="172" fontId="0" fillId="6" borderId="74" xfId="0" applyNumberFormat="1" applyFill="1" applyBorder="1" applyAlignment="1">
      <alignment horizontal="left" vertical="center"/>
    </xf>
    <xf numFmtId="172" fontId="0" fillId="6" borderId="70" xfId="0" applyNumberFormat="1" applyFill="1" applyBorder="1" applyAlignment="1">
      <alignment horizontal="left" vertical="center"/>
    </xf>
    <xf numFmtId="172" fontId="0" fillId="6" borderId="77" xfId="0" applyNumberFormat="1" applyFill="1" applyBorder="1" applyAlignment="1">
      <alignment horizontal="left" vertical="center"/>
    </xf>
    <xf numFmtId="3" fontId="2" fillId="3" borderId="78" xfId="47" applyNumberFormat="1" applyFont="1" applyFill="1" applyBorder="1" applyAlignment="1">
      <alignment horizontal="center" vertical="center"/>
    </xf>
    <xf numFmtId="172" fontId="2" fillId="3" borderId="79" xfId="47" applyNumberFormat="1" applyFont="1" applyFill="1" applyBorder="1" applyAlignment="1">
      <alignment horizontal="center" vertical="center"/>
    </xf>
    <xf numFmtId="1" fontId="0" fillId="0" borderId="0" xfId="0" applyNumberFormat="1" applyFont="1" applyFill="1" applyBorder="1" applyAlignment="1">
      <alignment horizontal="center"/>
    </xf>
    <xf numFmtId="0" fontId="3" fillId="0" borderId="11" xfId="0" applyFont="1" applyBorder="1" applyAlignment="1">
      <alignment vertical="center"/>
    </xf>
    <xf numFmtId="1" fontId="2" fillId="17" borderId="78" xfId="0" applyNumberFormat="1" applyFont="1" applyFill="1" applyBorder="1" applyAlignment="1">
      <alignment horizontal="center" vertical="center"/>
    </xf>
    <xf numFmtId="172" fontId="0" fillId="0" borderId="80" xfId="47" applyNumberFormat="1" applyFont="1" applyFill="1" applyBorder="1" applyAlignment="1">
      <alignment horizontal="center" vertical="center"/>
    </xf>
    <xf numFmtId="3" fontId="0" fillId="17" borderId="10" xfId="0" applyNumberFormat="1" applyFont="1" applyFill="1" applyBorder="1" applyAlignment="1" applyProtection="1">
      <alignment horizontal="center" vertical="center"/>
      <protection locked="0"/>
    </xf>
    <xf numFmtId="3" fontId="0" fillId="17" borderId="16" xfId="0" applyNumberFormat="1" applyFont="1" applyFill="1" applyBorder="1" applyAlignment="1" applyProtection="1">
      <alignment horizontal="center" vertical="center"/>
      <protection locked="0"/>
    </xf>
    <xf numFmtId="3" fontId="2" fillId="3" borderId="10" xfId="47" applyNumberFormat="1" applyFont="1" applyFill="1" applyBorder="1" applyAlignment="1">
      <alignment horizontal="center" vertical="center"/>
    </xf>
    <xf numFmtId="3" fontId="2" fillId="3" borderId="10" xfId="0" applyNumberFormat="1" applyFont="1" applyFill="1" applyBorder="1" applyAlignment="1">
      <alignment horizontal="center" vertical="center"/>
    </xf>
    <xf numFmtId="1" fontId="0" fillId="4" borderId="11" xfId="0" applyNumberFormat="1" applyFill="1" applyBorder="1" applyAlignment="1">
      <alignment horizontal="center"/>
    </xf>
    <xf numFmtId="0" fontId="25" fillId="0" borderId="81" xfId="0" applyFont="1" applyFill="1" applyBorder="1" applyAlignment="1" applyProtection="1">
      <alignment horizontal="left" vertical="center"/>
      <protection/>
    </xf>
    <xf numFmtId="42" fontId="6" fillId="5" borderId="11" xfId="47" applyNumberFormat="1" applyFont="1" applyFill="1" applyBorder="1" applyAlignment="1">
      <alignment horizontal="right"/>
    </xf>
    <xf numFmtId="6" fontId="54" fillId="5" borderId="82" xfId="47" applyNumberFormat="1" applyFont="1" applyFill="1" applyBorder="1" applyAlignment="1" applyProtection="1">
      <alignment horizontal="right" vertical="center"/>
      <protection/>
    </xf>
    <xf numFmtId="172" fontId="3" fillId="15" borderId="83" xfId="47" applyNumberFormat="1" applyFont="1" applyFill="1" applyBorder="1" applyAlignment="1">
      <alignment horizontal="center"/>
    </xf>
    <xf numFmtId="0" fontId="0" fillId="5" borderId="20" xfId="0" applyFont="1" applyFill="1" applyBorder="1" applyAlignment="1">
      <alignment horizontal="center" vertical="center" wrapText="1"/>
    </xf>
    <xf numFmtId="172" fontId="3" fillId="5" borderId="78" xfId="47" applyNumberFormat="1" applyFont="1" applyFill="1" applyBorder="1" applyAlignment="1">
      <alignment horizontal="center" vertical="center"/>
    </xf>
    <xf numFmtId="0" fontId="36" fillId="15" borderId="22" xfId="71" applyFont="1" applyFill="1" applyBorder="1" applyAlignment="1">
      <alignment horizontal="right" vertical="center"/>
      <protection/>
    </xf>
    <xf numFmtId="0" fontId="0" fillId="0" borderId="0" xfId="0" applyFont="1" applyBorder="1" applyAlignment="1">
      <alignment/>
    </xf>
    <xf numFmtId="0" fontId="2" fillId="0" borderId="0" xfId="0" applyFont="1" applyBorder="1" applyAlignment="1">
      <alignment horizontal="center" vertical="center"/>
    </xf>
    <xf numFmtId="0" fontId="2" fillId="15" borderId="0" xfId="0" applyFont="1" applyFill="1" applyBorder="1" applyAlignment="1">
      <alignment horizontal="center" vertical="center" wrapText="1"/>
    </xf>
    <xf numFmtId="0" fontId="21" fillId="0" borderId="0" xfId="0" applyFont="1" applyBorder="1" applyAlignment="1">
      <alignment horizontal="center" vertical="center" wrapText="1"/>
    </xf>
    <xf numFmtId="3" fontId="110" fillId="0" borderId="0" xfId="0" applyNumberFormat="1" applyFont="1" applyBorder="1" applyAlignment="1">
      <alignment horizontal="center"/>
    </xf>
    <xf numFmtId="0" fontId="111" fillId="0" borderId="0" xfId="0" applyFont="1" applyBorder="1" applyAlignment="1">
      <alignment horizontal="center"/>
    </xf>
    <xf numFmtId="0" fontId="29" fillId="2" borderId="0" xfId="0" applyFont="1" applyFill="1" applyBorder="1" applyAlignment="1">
      <alignment horizontal="center"/>
    </xf>
    <xf numFmtId="3" fontId="110" fillId="15" borderId="0" xfId="0" applyNumberFormat="1" applyFont="1" applyFill="1" applyBorder="1" applyAlignment="1">
      <alignment horizontal="center"/>
    </xf>
    <xf numFmtId="0" fontId="111" fillId="15" borderId="0" xfId="0" applyFont="1" applyFill="1" applyBorder="1" applyAlignment="1">
      <alignment horizontal="center"/>
    </xf>
    <xf numFmtId="0" fontId="43" fillId="18" borderId="20" xfId="71" applyFont="1" applyFill="1" applyBorder="1" applyAlignment="1" applyProtection="1">
      <alignment horizontal="left" vertical="center"/>
      <protection locked="0"/>
    </xf>
    <xf numFmtId="0" fontId="43" fillId="18" borderId="13" xfId="71" applyFont="1" applyFill="1" applyBorder="1" applyAlignment="1" applyProtection="1">
      <alignment horizontal="left" vertical="center"/>
      <protection locked="0"/>
    </xf>
    <xf numFmtId="172" fontId="43" fillId="18" borderId="13" xfId="47" applyNumberFormat="1" applyFont="1" applyFill="1" applyBorder="1" applyAlignment="1" applyProtection="1">
      <alignment horizontal="left" vertical="center"/>
      <protection locked="0"/>
    </xf>
    <xf numFmtId="172" fontId="43" fillId="18" borderId="21" xfId="47" applyNumberFormat="1" applyFont="1" applyFill="1" applyBorder="1" applyAlignment="1" applyProtection="1">
      <alignment horizontal="left" vertical="center"/>
      <protection locked="0"/>
    </xf>
    <xf numFmtId="172" fontId="29" fillId="5" borderId="15" xfId="47" applyNumberFormat="1" applyFont="1" applyFill="1" applyBorder="1" applyAlignment="1">
      <alignment horizontal="center" vertical="center"/>
    </xf>
    <xf numFmtId="172" fontId="29" fillId="8" borderId="15" xfId="47" applyNumberFormat="1" applyFont="1" applyFill="1" applyBorder="1" applyAlignment="1">
      <alignment/>
    </xf>
    <xf numFmtId="1" fontId="0" fillId="4" borderId="15" xfId="0" applyNumberFormat="1" applyFill="1" applyBorder="1" applyAlignment="1">
      <alignment horizontal="center"/>
    </xf>
    <xf numFmtId="44" fontId="0" fillId="4" borderId="15" xfId="47" applyFont="1" applyFill="1" applyBorder="1" applyAlignment="1">
      <alignment/>
    </xf>
    <xf numFmtId="2" fontId="0" fillId="20" borderId="18" xfId="0" applyNumberFormat="1" applyFill="1" applyBorder="1" applyAlignment="1">
      <alignment horizontal="center"/>
    </xf>
    <xf numFmtId="0" fontId="25" fillId="0" borderId="81" xfId="0" applyNumberFormat="1" applyFont="1" applyFill="1" applyBorder="1" applyAlignment="1" applyProtection="1">
      <alignment horizontal="left" vertical="center"/>
      <protection/>
    </xf>
    <xf numFmtId="42" fontId="2" fillId="5" borderId="10" xfId="47" applyNumberFormat="1" applyFont="1" applyFill="1" applyBorder="1" applyAlignment="1">
      <alignment horizontal="right"/>
    </xf>
    <xf numFmtId="0" fontId="16" fillId="15" borderId="0" xfId="0" applyFont="1" applyFill="1" applyAlignment="1">
      <alignment/>
    </xf>
    <xf numFmtId="0" fontId="16" fillId="15" borderId="0" xfId="0" applyFont="1" applyFill="1" applyAlignment="1">
      <alignment/>
    </xf>
    <xf numFmtId="0" fontId="16" fillId="15" borderId="0" xfId="0" applyFont="1" applyFill="1" applyAlignment="1">
      <alignment horizontal="left" vertical="center"/>
    </xf>
    <xf numFmtId="6" fontId="60" fillId="5" borderId="16" xfId="0" applyNumberFormat="1" applyFont="1" applyFill="1" applyBorder="1" applyAlignment="1">
      <alignment horizontal="center" vertical="center"/>
    </xf>
    <xf numFmtId="0" fontId="16" fillId="15" borderId="0" xfId="0" applyFont="1" applyFill="1" applyBorder="1" applyAlignment="1">
      <alignment horizontal="center" vertical="center" wrapText="1"/>
    </xf>
    <xf numFmtId="0" fontId="59" fillId="15" borderId="0" xfId="0" applyFont="1" applyFill="1" applyBorder="1" applyAlignment="1">
      <alignment horizontal="center" vertical="center"/>
    </xf>
    <xf numFmtId="0" fontId="58" fillId="15" borderId="0" xfId="0" applyFont="1" applyFill="1" applyBorder="1" applyAlignment="1">
      <alignment horizontal="right" vertical="center" indent="1"/>
    </xf>
    <xf numFmtId="0" fontId="59" fillId="15" borderId="0" xfId="0" applyFont="1" applyFill="1" applyBorder="1" applyAlignment="1">
      <alignment horizontal="center" vertical="center"/>
    </xf>
    <xf numFmtId="0" fontId="16" fillId="15" borderId="0" xfId="0" applyFont="1" applyFill="1" applyBorder="1" applyAlignment="1">
      <alignment horizontal="left" vertical="center" wrapText="1" indent="1"/>
    </xf>
    <xf numFmtId="0" fontId="16" fillId="15" borderId="0" xfId="0" applyFont="1" applyFill="1" applyBorder="1" applyAlignment="1">
      <alignment/>
    </xf>
    <xf numFmtId="0" fontId="63" fillId="19" borderId="84" xfId="0" applyFont="1" applyFill="1" applyBorder="1" applyAlignment="1">
      <alignment/>
    </xf>
    <xf numFmtId="0" fontId="16" fillId="15" borderId="0" xfId="0" applyFont="1" applyFill="1" applyBorder="1" applyAlignment="1">
      <alignment horizontal="left"/>
    </xf>
    <xf numFmtId="6" fontId="60" fillId="15" borderId="0" xfId="0" applyNumberFormat="1" applyFont="1" applyFill="1" applyBorder="1" applyAlignment="1">
      <alignment horizontal="center" vertical="center"/>
    </xf>
    <xf numFmtId="0" fontId="43" fillId="19" borderId="24" xfId="0" applyFont="1" applyFill="1" applyBorder="1" applyAlignment="1">
      <alignment vertical="center" wrapText="1"/>
    </xf>
    <xf numFmtId="6" fontId="61" fillId="18" borderId="85" xfId="71" applyNumberFormat="1" applyFont="1" applyFill="1" applyBorder="1" applyAlignment="1" applyProtection="1">
      <alignment horizontal="left" vertical="center"/>
      <protection locked="0"/>
    </xf>
    <xf numFmtId="0" fontId="63" fillId="19" borderId="27" xfId="0" applyFont="1" applyFill="1" applyBorder="1" applyAlignment="1">
      <alignment/>
    </xf>
    <xf numFmtId="0" fontId="0" fillId="0" borderId="0" xfId="0" applyFont="1" applyAlignment="1">
      <alignment horizontal="left" vertical="top" wrapText="1"/>
    </xf>
    <xf numFmtId="3" fontId="16" fillId="15" borderId="10" xfId="0" applyNumberFormat="1" applyFont="1" applyFill="1" applyBorder="1" applyAlignment="1">
      <alignment horizontal="center" vertical="center"/>
    </xf>
    <xf numFmtId="3" fontId="16" fillId="15" borderId="10" xfId="0" applyNumberFormat="1" applyFont="1" applyFill="1" applyBorder="1" applyAlignment="1">
      <alignment horizontal="center" vertical="center" wrapText="1"/>
    </xf>
    <xf numFmtId="0" fontId="0" fillId="15" borderId="0" xfId="0" applyFill="1" applyAlignment="1">
      <alignment/>
    </xf>
    <xf numFmtId="0" fontId="0" fillId="15" borderId="10" xfId="0" applyFill="1" applyBorder="1" applyAlignment="1">
      <alignment/>
    </xf>
    <xf numFmtId="0" fontId="2" fillId="0" borderId="10" xfId="0" applyFont="1" applyBorder="1" applyAlignment="1">
      <alignment wrapText="1"/>
    </xf>
    <xf numFmtId="44" fontId="0" fillId="0" borderId="14" xfId="47" applyFont="1" applyBorder="1" applyAlignment="1">
      <alignment/>
    </xf>
    <xf numFmtId="0" fontId="6" fillId="15" borderId="0" xfId="71" applyFont="1" applyFill="1" applyAlignment="1" applyProtection="1">
      <alignment/>
      <protection locked="0"/>
    </xf>
    <xf numFmtId="0" fontId="0" fillId="2" borderId="86" xfId="0" applyFont="1" applyFill="1" applyBorder="1" applyAlignment="1">
      <alignment horizontal="center" wrapText="1"/>
    </xf>
    <xf numFmtId="0" fontId="0" fillId="5" borderId="87" xfId="0" applyFill="1" applyBorder="1" applyAlignment="1">
      <alignment horizontal="center" vertical="center" wrapText="1"/>
    </xf>
    <xf numFmtId="3" fontId="0" fillId="17" borderId="86" xfId="0" applyNumberFormat="1" applyFill="1" applyBorder="1" applyAlignment="1" applyProtection="1">
      <alignment horizontal="center"/>
      <protection locked="0"/>
    </xf>
    <xf numFmtId="172" fontId="2" fillId="5" borderId="88" xfId="47" applyNumberFormat="1" applyFont="1" applyFill="1" applyBorder="1" applyAlignment="1">
      <alignment horizontal="center"/>
    </xf>
    <xf numFmtId="3" fontId="0" fillId="17" borderId="89" xfId="0" applyNumberFormat="1" applyFill="1" applyBorder="1" applyAlignment="1" applyProtection="1">
      <alignment horizontal="center"/>
      <protection locked="0"/>
    </xf>
    <xf numFmtId="172" fontId="2" fillId="5" borderId="90" xfId="47" applyNumberFormat="1" applyFont="1" applyFill="1" applyBorder="1" applyAlignment="1">
      <alignment horizontal="center"/>
    </xf>
    <xf numFmtId="172" fontId="3" fillId="15" borderId="91" xfId="47" applyNumberFormat="1" applyFont="1" applyFill="1" applyBorder="1" applyAlignment="1">
      <alignment horizontal="center"/>
    </xf>
    <xf numFmtId="0" fontId="56" fillId="18" borderId="92" xfId="71" applyFont="1" applyFill="1" applyBorder="1" applyAlignment="1" applyProtection="1">
      <alignment horizontal="left" vertical="center"/>
      <protection locked="0"/>
    </xf>
    <xf numFmtId="0" fontId="61" fillId="18" borderId="18" xfId="71" applyFont="1" applyFill="1" applyBorder="1" applyAlignment="1" applyProtection="1">
      <alignment horizontal="left" vertical="center"/>
      <protection locked="0"/>
    </xf>
    <xf numFmtId="6" fontId="61" fillId="18" borderId="18" xfId="71" applyNumberFormat="1" applyFont="1" applyFill="1" applyBorder="1" applyAlignment="1" applyProtection="1">
      <alignment horizontal="left" vertical="center"/>
      <protection locked="0"/>
    </xf>
    <xf numFmtId="0" fontId="61" fillId="18" borderId="93" xfId="71" applyFont="1" applyFill="1" applyBorder="1" applyAlignment="1" applyProtection="1">
      <alignment horizontal="left" vertical="center"/>
      <protection locked="0"/>
    </xf>
    <xf numFmtId="0" fontId="59" fillId="17" borderId="94" xfId="0" applyFont="1" applyFill="1" applyBorder="1" applyAlignment="1">
      <alignment horizontal="center" vertical="center"/>
    </xf>
    <xf numFmtId="0" fontId="62" fillId="15" borderId="95" xfId="0" applyFont="1" applyFill="1" applyBorder="1" applyAlignment="1">
      <alignment horizontal="right" vertical="center" wrapText="1"/>
    </xf>
    <xf numFmtId="0" fontId="67" fillId="15" borderId="0" xfId="71" applyFont="1" applyFill="1" applyBorder="1" applyAlignment="1" applyProtection="1">
      <alignment horizontal="left"/>
      <protection locked="0"/>
    </xf>
    <xf numFmtId="44" fontId="16" fillId="15" borderId="0" xfId="51" applyFont="1" applyFill="1" applyBorder="1" applyAlignment="1">
      <alignment/>
    </xf>
    <xf numFmtId="0" fontId="16" fillId="15" borderId="0" xfId="71" applyFont="1" applyFill="1" applyBorder="1" applyAlignment="1">
      <alignment/>
      <protection/>
    </xf>
    <xf numFmtId="0" fontId="64" fillId="15" borderId="0" xfId="71" applyFont="1" applyFill="1" applyBorder="1" applyAlignment="1" applyProtection="1">
      <alignment/>
      <protection/>
    </xf>
    <xf numFmtId="0" fontId="68" fillId="15" borderId="0" xfId="71" applyFont="1" applyFill="1" applyBorder="1" applyAlignment="1" applyProtection="1">
      <alignment/>
      <protection locked="0"/>
    </xf>
    <xf numFmtId="0" fontId="16" fillId="15" borderId="0" xfId="0" applyFont="1" applyFill="1" applyBorder="1" applyAlignment="1">
      <alignment/>
    </xf>
    <xf numFmtId="44" fontId="70" fillId="19" borderId="96" xfId="51" applyFont="1" applyFill="1" applyBorder="1" applyAlignment="1">
      <alignment horizontal="center" vertical="center" wrapText="1"/>
    </xf>
    <xf numFmtId="0" fontId="70" fillId="19" borderId="26" xfId="0" applyFont="1" applyFill="1" applyBorder="1" applyAlignment="1">
      <alignment horizontal="center" vertical="center"/>
    </xf>
    <xf numFmtId="0" fontId="70" fillId="19" borderId="96" xfId="71" applyFont="1" applyFill="1" applyBorder="1" applyAlignment="1">
      <alignment horizontal="center" vertical="center" wrapText="1"/>
      <protection/>
    </xf>
    <xf numFmtId="0" fontId="70" fillId="19" borderId="26" xfId="0" applyFont="1" applyFill="1" applyBorder="1" applyAlignment="1">
      <alignment horizontal="center" vertical="center" wrapText="1"/>
    </xf>
    <xf numFmtId="0" fontId="71" fillId="19" borderId="26" xfId="71" applyFont="1" applyFill="1" applyBorder="1" applyAlignment="1">
      <alignment horizontal="center" vertical="center" wrapText="1"/>
      <protection/>
    </xf>
    <xf numFmtId="0" fontId="43" fillId="15" borderId="23" xfId="0" applyFont="1" applyFill="1" applyBorder="1" applyAlignment="1">
      <alignment horizontal="center" vertical="center" wrapText="1"/>
    </xf>
    <xf numFmtId="0" fontId="43" fillId="15" borderId="0" xfId="0" applyFont="1" applyFill="1" applyBorder="1" applyAlignment="1">
      <alignment horizontal="center" vertical="center" wrapText="1"/>
    </xf>
    <xf numFmtId="44" fontId="70" fillId="15" borderId="0" xfId="51" applyFont="1" applyFill="1" applyBorder="1" applyAlignment="1">
      <alignment horizontal="center" vertical="center" wrapText="1"/>
    </xf>
    <xf numFmtId="0" fontId="70" fillId="15" borderId="0" xfId="0" applyFont="1" applyFill="1" applyBorder="1" applyAlignment="1">
      <alignment horizontal="center" vertical="center"/>
    </xf>
    <xf numFmtId="0" fontId="70" fillId="15" borderId="0" xfId="71" applyFont="1" applyFill="1" applyBorder="1" applyAlignment="1">
      <alignment horizontal="center" vertical="center" wrapText="1"/>
      <protection/>
    </xf>
    <xf numFmtId="0" fontId="70" fillId="15" borderId="0" xfId="0" applyFont="1" applyFill="1" applyBorder="1" applyAlignment="1">
      <alignment horizontal="center" vertical="center" wrapText="1"/>
    </xf>
    <xf numFmtId="0" fontId="71" fillId="15" borderId="0" xfId="71" applyFont="1" applyFill="1" applyBorder="1" applyAlignment="1">
      <alignment horizontal="center" vertical="center" wrapText="1"/>
      <protection/>
    </xf>
    <xf numFmtId="174" fontId="59" fillId="15" borderId="97" xfId="45" applyNumberFormat="1" applyFont="1" applyFill="1" applyBorder="1" applyAlignment="1">
      <alignment horizontal="left" vertical="center"/>
    </xf>
    <xf numFmtId="209" fontId="112" fillId="15" borderId="10" xfId="45" applyNumberFormat="1" applyFont="1" applyFill="1" applyBorder="1" applyAlignment="1">
      <alignment horizontal="left" vertical="center"/>
    </xf>
    <xf numFmtId="174" fontId="59" fillId="15" borderId="10" xfId="45" applyNumberFormat="1" applyFont="1" applyFill="1" applyBorder="1" applyAlignment="1">
      <alignment horizontal="left" vertical="center"/>
    </xf>
    <xf numFmtId="0" fontId="112" fillId="15" borderId="10" xfId="71" applyFont="1" applyFill="1" applyBorder="1" applyAlignment="1">
      <alignment horizontal="right" vertical="center"/>
      <protection/>
    </xf>
    <xf numFmtId="0" fontId="59" fillId="15" borderId="10" xfId="71" applyFont="1" applyFill="1" applyBorder="1" applyAlignment="1">
      <alignment horizontal="right" vertical="center"/>
      <protection/>
    </xf>
    <xf numFmtId="0" fontId="61" fillId="19" borderId="98" xfId="71" applyFont="1" applyFill="1" applyBorder="1" applyAlignment="1">
      <alignment horizontal="left" vertical="center" wrapText="1"/>
      <protection/>
    </xf>
    <xf numFmtId="0" fontId="61" fillId="19" borderId="99" xfId="71" applyFont="1" applyFill="1" applyBorder="1" applyAlignment="1">
      <alignment horizontal="left" vertical="center" wrapText="1"/>
      <protection/>
    </xf>
    <xf numFmtId="209" fontId="112" fillId="15" borderId="59" xfId="45" applyNumberFormat="1" applyFont="1" applyFill="1" applyBorder="1" applyAlignment="1">
      <alignment horizontal="left" vertical="center"/>
    </xf>
    <xf numFmtId="174" fontId="59" fillId="15" borderId="59" xfId="45" applyNumberFormat="1" applyFont="1" applyFill="1" applyBorder="1" applyAlignment="1">
      <alignment horizontal="left" vertical="center"/>
    </xf>
    <xf numFmtId="44" fontId="59" fillId="15" borderId="0" xfId="51" applyFont="1" applyFill="1" applyBorder="1" applyAlignment="1">
      <alignment horizontal="center" vertical="center"/>
    </xf>
    <xf numFmtId="3" fontId="59" fillId="17" borderId="94" xfId="0" applyNumberFormat="1" applyFont="1" applyFill="1" applyBorder="1" applyAlignment="1">
      <alignment horizontal="center" vertical="center"/>
    </xf>
    <xf numFmtId="0" fontId="59" fillId="15" borderId="0" xfId="71" applyFont="1" applyFill="1" applyBorder="1" applyAlignment="1">
      <alignment horizontal="left" vertical="center"/>
      <protection/>
    </xf>
    <xf numFmtId="6" fontId="60" fillId="5" borderId="94" xfId="0" applyNumberFormat="1" applyFont="1" applyFill="1" applyBorder="1" applyAlignment="1">
      <alignment horizontal="center" vertical="center"/>
    </xf>
    <xf numFmtId="0" fontId="73" fillId="15" borderId="0" xfId="71" applyFont="1" applyFill="1" applyBorder="1" applyAlignment="1">
      <alignment wrapText="1"/>
      <protection/>
    </xf>
    <xf numFmtId="0" fontId="62" fillId="15" borderId="0" xfId="0" applyFont="1" applyFill="1" applyBorder="1" applyAlignment="1">
      <alignment horizontal="right" vertical="center" wrapText="1"/>
    </xf>
    <xf numFmtId="174" fontId="60" fillId="15" borderId="0" xfId="42" applyNumberFormat="1" applyFont="1" applyFill="1" applyBorder="1" applyAlignment="1">
      <alignment horizontal="center" vertical="center"/>
    </xf>
    <xf numFmtId="0" fontId="71" fillId="19" borderId="100" xfId="71" applyFont="1" applyFill="1" applyBorder="1" applyAlignment="1">
      <alignment horizontal="left" vertical="center"/>
      <protection/>
    </xf>
    <xf numFmtId="0" fontId="71" fillId="19" borderId="100" xfId="71" applyFont="1" applyFill="1" applyBorder="1" applyAlignment="1">
      <alignment horizontal="left" vertical="center" indent="2"/>
      <protection/>
    </xf>
    <xf numFmtId="0" fontId="71" fillId="19" borderId="85" xfId="71" applyFont="1" applyFill="1" applyBorder="1" applyAlignment="1">
      <alignment horizontal="left" vertical="center" indent="2"/>
      <protection/>
    </xf>
    <xf numFmtId="0" fontId="71" fillId="19" borderId="25" xfId="71" applyFont="1" applyFill="1" applyBorder="1" applyAlignment="1">
      <alignment horizontal="left" vertical="center" indent="2"/>
      <protection/>
    </xf>
    <xf numFmtId="0" fontId="71" fillId="19" borderId="15" xfId="71" applyFont="1" applyFill="1" applyBorder="1" applyAlignment="1">
      <alignment horizontal="left" vertical="center"/>
      <protection/>
    </xf>
    <xf numFmtId="0" fontId="71" fillId="19" borderId="15" xfId="71" applyFont="1" applyFill="1" applyBorder="1" applyAlignment="1">
      <alignment horizontal="left" vertical="center" indent="2"/>
      <protection/>
    </xf>
    <xf numFmtId="0" fontId="71" fillId="19" borderId="18" xfId="71" applyFont="1" applyFill="1" applyBorder="1" applyAlignment="1">
      <alignment horizontal="left" vertical="center" indent="2"/>
      <protection/>
    </xf>
    <xf numFmtId="0" fontId="71" fillId="19" borderId="22" xfId="71" applyFont="1" applyFill="1" applyBorder="1" applyAlignment="1">
      <alignment horizontal="left" vertical="center" indent="2"/>
      <protection/>
    </xf>
    <xf numFmtId="174" fontId="112" fillId="15" borderId="10" xfId="45" applyNumberFormat="1" applyFont="1" applyFill="1" applyBorder="1" applyAlignment="1">
      <alignment horizontal="left" vertical="center"/>
    </xf>
    <xf numFmtId="0" fontId="113" fillId="15" borderId="96" xfId="71" applyFont="1" applyFill="1" applyBorder="1" applyAlignment="1">
      <alignment horizontal="left" vertical="center" wrapText="1"/>
      <protection/>
    </xf>
    <xf numFmtId="0" fontId="113" fillId="15" borderId="101" xfId="71" applyFont="1" applyFill="1" applyBorder="1" applyAlignment="1">
      <alignment horizontal="left" vertical="center" wrapText="1"/>
      <protection/>
    </xf>
    <xf numFmtId="174" fontId="0" fillId="0" borderId="10" xfId="0" applyNumberFormat="1" applyBorder="1" applyAlignment="1">
      <alignment/>
    </xf>
    <xf numFmtId="0" fontId="6" fillId="15" borderId="0" xfId="71" applyFont="1" applyFill="1" applyBorder="1" applyAlignment="1" applyProtection="1">
      <alignment/>
      <protection locked="0"/>
    </xf>
    <xf numFmtId="0" fontId="0" fillId="15" borderId="0" xfId="71" applyFill="1">
      <alignment/>
      <protection/>
    </xf>
    <xf numFmtId="0" fontId="43" fillId="19" borderId="15" xfId="71" applyFont="1" applyFill="1" applyBorder="1" applyAlignment="1">
      <alignment horizontal="center" vertical="center" wrapText="1"/>
      <protection/>
    </xf>
    <xf numFmtId="6" fontId="58" fillId="15" borderId="102" xfId="0" applyNumberFormat="1" applyFont="1" applyFill="1" applyBorder="1" applyAlignment="1">
      <alignment horizontal="center" vertical="center"/>
    </xf>
    <xf numFmtId="6" fontId="58" fillId="15" borderId="87" xfId="0" applyNumberFormat="1" applyFont="1" applyFill="1" applyBorder="1" applyAlignment="1">
      <alignment horizontal="center" vertical="center"/>
    </xf>
    <xf numFmtId="6" fontId="58" fillId="15" borderId="88" xfId="0" applyNumberFormat="1" applyFont="1" applyFill="1" applyBorder="1" applyAlignment="1">
      <alignment horizontal="center" vertical="center"/>
    </xf>
    <xf numFmtId="6" fontId="58" fillId="15" borderId="103" xfId="0" applyNumberFormat="1" applyFont="1" applyFill="1" applyBorder="1" applyAlignment="1">
      <alignment horizontal="center" vertical="center"/>
    </xf>
    <xf numFmtId="0" fontId="43" fillId="19" borderId="15" xfId="71" applyFont="1" applyFill="1" applyBorder="1" applyAlignment="1">
      <alignment horizontal="left" vertical="center" indent="1"/>
      <protection/>
    </xf>
    <xf numFmtId="0" fontId="43" fillId="19" borderId="23" xfId="71" applyFont="1" applyFill="1" applyBorder="1" applyAlignment="1">
      <alignment horizontal="center" vertical="center" wrapText="1"/>
      <protection/>
    </xf>
    <xf numFmtId="0" fontId="43" fillId="19" borderId="104" xfId="71" applyFont="1" applyFill="1" applyBorder="1" applyAlignment="1">
      <alignment horizontal="center" vertical="center" wrapText="1"/>
      <protection/>
    </xf>
    <xf numFmtId="0" fontId="58" fillId="15" borderId="0" xfId="71" applyFont="1" applyFill="1" applyBorder="1" applyAlignment="1">
      <alignment horizontal="center" vertical="center"/>
      <protection/>
    </xf>
    <xf numFmtId="0" fontId="0" fillId="15" borderId="0" xfId="71" applyFill="1" applyBorder="1">
      <alignment/>
      <protection/>
    </xf>
    <xf numFmtId="0" fontId="16" fillId="15" borderId="0" xfId="71" applyFont="1" applyFill="1" applyBorder="1" applyAlignment="1">
      <alignment horizontal="left" wrapText="1"/>
      <protection/>
    </xf>
    <xf numFmtId="0" fontId="114" fillId="15" borderId="10" xfId="71" applyFont="1" applyFill="1" applyBorder="1" applyAlignment="1">
      <alignment horizontal="center" vertical="center" wrapText="1"/>
      <protection/>
    </xf>
    <xf numFmtId="6" fontId="74" fillId="15" borderId="103" xfId="0" applyNumberFormat="1" applyFont="1" applyFill="1" applyBorder="1" applyAlignment="1">
      <alignment horizontal="center" vertical="center"/>
    </xf>
    <xf numFmtId="0" fontId="114" fillId="15" borderId="14" xfId="71" applyFont="1" applyFill="1" applyBorder="1" applyAlignment="1">
      <alignment horizontal="center" vertical="center" wrapText="1"/>
      <protection/>
    </xf>
    <xf numFmtId="3" fontId="62" fillId="15" borderId="21" xfId="71" applyNumberFormat="1" applyFont="1" applyFill="1" applyBorder="1" applyAlignment="1">
      <alignment horizontal="center" vertical="center"/>
      <protection/>
    </xf>
    <xf numFmtId="3" fontId="62" fillId="15" borderId="14" xfId="71" applyNumberFormat="1" applyFont="1" applyFill="1" applyBorder="1" applyAlignment="1">
      <alignment horizontal="center" vertical="center"/>
      <protection/>
    </xf>
    <xf numFmtId="3" fontId="62" fillId="15" borderId="105" xfId="71" applyNumberFormat="1" applyFont="1" applyFill="1" applyBorder="1" applyAlignment="1">
      <alignment horizontal="center" vertical="center"/>
      <protection/>
    </xf>
    <xf numFmtId="0" fontId="43" fillId="19" borderId="106" xfId="71" applyFont="1" applyFill="1" applyBorder="1" applyAlignment="1">
      <alignment horizontal="center" vertical="center" wrapText="1"/>
      <protection/>
    </xf>
    <xf numFmtId="3" fontId="62" fillId="15" borderId="107" xfId="71" applyNumberFormat="1" applyFont="1" applyFill="1" applyBorder="1" applyAlignment="1">
      <alignment horizontal="center" vertical="center"/>
      <protection/>
    </xf>
    <xf numFmtId="0" fontId="56" fillId="19" borderId="100" xfId="71" applyFont="1" applyFill="1" applyBorder="1" applyAlignment="1">
      <alignment horizontal="center" vertical="center"/>
      <protection/>
    </xf>
    <xf numFmtId="0" fontId="56" fillId="19" borderId="85" xfId="71" applyFont="1" applyFill="1" applyBorder="1" applyAlignment="1">
      <alignment horizontal="center" vertical="center" wrapText="1"/>
      <protection/>
    </xf>
    <xf numFmtId="0" fontId="56" fillId="19" borderId="100" xfId="71" applyFont="1" applyFill="1" applyBorder="1" applyAlignment="1">
      <alignment horizontal="center" vertical="center" wrapText="1"/>
      <protection/>
    </xf>
    <xf numFmtId="0" fontId="57" fillId="19" borderId="108" xfId="71" applyFont="1" applyFill="1" applyBorder="1" applyAlignment="1">
      <alignment horizontal="center" vertical="center" wrapText="1"/>
      <protection/>
    </xf>
    <xf numFmtId="0" fontId="63" fillId="18" borderId="11" xfId="71" applyFont="1" applyFill="1" applyBorder="1" applyAlignment="1" applyProtection="1">
      <alignment horizontal="center" vertical="center" wrapText="1"/>
      <protection locked="0"/>
    </xf>
    <xf numFmtId="177" fontId="58" fillId="15" borderId="10" xfId="50" applyNumberFormat="1" applyFont="1" applyFill="1" applyBorder="1" applyAlignment="1">
      <alignment horizontal="center" vertical="center"/>
    </xf>
    <xf numFmtId="0" fontId="16" fillId="17" borderId="10" xfId="0" applyFont="1" applyFill="1" applyBorder="1" applyAlignment="1">
      <alignment horizontal="center" vertical="center"/>
    </xf>
    <xf numFmtId="44" fontId="72" fillId="5" borderId="105" xfId="50" applyFont="1" applyFill="1" applyBorder="1" applyAlignment="1">
      <alignment horizontal="center" vertical="center"/>
    </xf>
    <xf numFmtId="1" fontId="0" fillId="4" borderId="18" xfId="0" applyNumberFormat="1" applyFill="1" applyBorder="1" applyAlignment="1">
      <alignment horizontal="center"/>
    </xf>
    <xf numFmtId="172" fontId="36" fillId="5" borderId="109" xfId="47" applyNumberFormat="1" applyFont="1" applyFill="1" applyBorder="1" applyAlignment="1">
      <alignment/>
    </xf>
    <xf numFmtId="172" fontId="36" fillId="8" borderId="110" xfId="47" applyNumberFormat="1" applyFont="1" applyFill="1" applyBorder="1" applyAlignment="1">
      <alignment/>
    </xf>
    <xf numFmtId="44" fontId="6" fillId="21" borderId="110" xfId="47" applyNumberFormat="1" applyFont="1" applyFill="1" applyBorder="1" applyAlignment="1">
      <alignment horizontal="center"/>
    </xf>
    <xf numFmtId="2" fontId="2" fillId="4" borderId="110" xfId="42" applyNumberFormat="1" applyFont="1" applyFill="1" applyBorder="1" applyAlignment="1">
      <alignment horizontal="center"/>
    </xf>
    <xf numFmtId="172" fontId="2" fillId="4" borderId="110" xfId="47" applyNumberFormat="1" applyFont="1" applyFill="1" applyBorder="1" applyAlignment="1">
      <alignment/>
    </xf>
    <xf numFmtId="2" fontId="0" fillId="20" borderId="111" xfId="0" applyNumberFormat="1" applyFill="1" applyBorder="1" applyAlignment="1">
      <alignment horizontal="center"/>
    </xf>
    <xf numFmtId="0" fontId="43" fillId="22" borderId="18" xfId="71" applyFont="1" applyFill="1" applyBorder="1" applyAlignment="1" applyProtection="1">
      <alignment horizontal="left" vertical="center"/>
      <protection locked="0"/>
    </xf>
    <xf numFmtId="0" fontId="0" fillId="0" borderId="0" xfId="0" applyAlignment="1">
      <alignment horizontal="left"/>
    </xf>
    <xf numFmtId="0" fontId="0" fillId="0" borderId="0" xfId="0" applyBorder="1" applyAlignment="1">
      <alignment horizontal="left"/>
    </xf>
    <xf numFmtId="0" fontId="0" fillId="15" borderId="0" xfId="0" applyFont="1" applyFill="1" applyAlignment="1">
      <alignment/>
    </xf>
    <xf numFmtId="0" fontId="2" fillId="15" borderId="13" xfId="71" applyFont="1" applyFill="1" applyBorder="1" applyAlignment="1" applyProtection="1">
      <alignment vertical="center"/>
      <protection locked="0"/>
    </xf>
    <xf numFmtId="0" fontId="115" fillId="19" borderId="10" xfId="0" applyFont="1" applyFill="1" applyBorder="1" applyAlignment="1">
      <alignment horizontal="center" vertical="center"/>
    </xf>
    <xf numFmtId="0" fontId="115" fillId="19" borderId="10" xfId="0" applyFont="1" applyFill="1" applyBorder="1" applyAlignment="1">
      <alignment horizontal="center" vertical="center" wrapText="1"/>
    </xf>
    <xf numFmtId="8" fontId="115" fillId="19" borderId="10" xfId="0" applyNumberFormat="1" applyFont="1" applyFill="1" applyBorder="1" applyAlignment="1">
      <alignment horizontal="center" vertical="center"/>
    </xf>
    <xf numFmtId="8" fontId="115" fillId="19" borderId="10" xfId="0" applyNumberFormat="1" applyFont="1" applyFill="1" applyBorder="1" applyAlignment="1">
      <alignment horizontal="center" vertical="center" wrapText="1"/>
    </xf>
    <xf numFmtId="0" fontId="48" fillId="0" borderId="0" xfId="71" applyFont="1" applyAlignment="1" applyProtection="1">
      <alignment/>
      <protection locked="0"/>
    </xf>
    <xf numFmtId="0" fontId="12" fillId="0" borderId="112" xfId="0" applyFont="1" applyBorder="1" applyAlignment="1">
      <alignment horizontal="left" vertical="center" wrapText="1"/>
    </xf>
    <xf numFmtId="177" fontId="75" fillId="15" borderId="97" xfId="50" applyNumberFormat="1" applyFont="1" applyFill="1" applyBorder="1" applyAlignment="1">
      <alignment horizontal="center" vertical="center"/>
    </xf>
    <xf numFmtId="0" fontId="75" fillId="17" borderId="97" xfId="0" applyFont="1" applyFill="1" applyBorder="1" applyAlignment="1">
      <alignment horizontal="center" vertical="center"/>
    </xf>
    <xf numFmtId="6" fontId="76" fillId="5" borderId="97" xfId="0" applyNumberFormat="1" applyFont="1" applyFill="1" applyBorder="1" applyAlignment="1">
      <alignment horizontal="center" vertical="center"/>
    </xf>
    <xf numFmtId="0" fontId="12" fillId="15" borderId="97" xfId="0" applyFont="1" applyFill="1" applyBorder="1" applyAlignment="1">
      <alignment horizontal="center" vertical="center" wrapText="1"/>
    </xf>
    <xf numFmtId="177" fontId="12" fillId="15" borderId="102" xfId="0" applyNumberFormat="1" applyFont="1" applyFill="1" applyBorder="1" applyAlignment="1">
      <alignment horizontal="center" vertical="center" wrapText="1"/>
    </xf>
    <xf numFmtId="0" fontId="12" fillId="0" borderId="113" xfId="0" applyFont="1" applyBorder="1" applyAlignment="1">
      <alignment horizontal="left" vertical="center" wrapText="1"/>
    </xf>
    <xf numFmtId="177" fontId="75" fillId="15" borderId="16" xfId="50" applyNumberFormat="1" applyFont="1" applyFill="1" applyBorder="1" applyAlignment="1">
      <alignment horizontal="center" vertical="center"/>
    </xf>
    <xf numFmtId="0" fontId="75" fillId="17" borderId="16" xfId="0" applyFont="1" applyFill="1" applyBorder="1" applyAlignment="1">
      <alignment horizontal="center" vertical="center"/>
    </xf>
    <xf numFmtId="6" fontId="76" fillId="5" borderId="10" xfId="0" applyNumberFormat="1" applyFont="1" applyFill="1" applyBorder="1" applyAlignment="1">
      <alignment horizontal="center" vertical="center"/>
    </xf>
    <xf numFmtId="0" fontId="12" fillId="15" borderId="16" xfId="0" applyFont="1" applyFill="1" applyBorder="1" applyAlignment="1">
      <alignment horizontal="center" vertical="center" wrapText="1"/>
    </xf>
    <xf numFmtId="177" fontId="12" fillId="15" borderId="87" xfId="0" applyNumberFormat="1" applyFont="1" applyFill="1" applyBorder="1" applyAlignment="1">
      <alignment horizontal="center" vertical="center" wrapText="1"/>
    </xf>
    <xf numFmtId="0" fontId="12" fillId="0" borderId="86" xfId="0" applyFont="1" applyBorder="1" applyAlignment="1">
      <alignment horizontal="left" vertical="center"/>
    </xf>
    <xf numFmtId="0" fontId="12" fillId="15" borderId="10" xfId="0" applyFont="1" applyFill="1" applyBorder="1" applyAlignment="1">
      <alignment horizontal="center" vertical="center" wrapText="1"/>
    </xf>
    <xf numFmtId="0" fontId="12" fillId="0" borderId="86" xfId="0" applyFont="1" applyBorder="1" applyAlignment="1">
      <alignment horizontal="left" vertical="center" wrapText="1"/>
    </xf>
    <xf numFmtId="0" fontId="12" fillId="0" borderId="89" xfId="0" applyFont="1" applyBorder="1" applyAlignment="1">
      <alignment horizontal="left" vertical="center" wrapText="1" indent="2"/>
    </xf>
    <xf numFmtId="0" fontId="75" fillId="17" borderId="114" xfId="0" applyFont="1" applyFill="1" applyBorder="1" applyAlignment="1">
      <alignment horizontal="center" vertical="center"/>
    </xf>
    <xf numFmtId="177" fontId="75" fillId="15" borderId="10" xfId="51" applyNumberFormat="1" applyFont="1" applyFill="1" applyBorder="1" applyAlignment="1">
      <alignment horizontal="center" vertical="center"/>
    </xf>
    <xf numFmtId="3" fontId="75" fillId="17" borderId="10" xfId="0" applyNumberFormat="1" applyFont="1" applyFill="1" applyBorder="1" applyAlignment="1">
      <alignment horizontal="center" vertical="center"/>
    </xf>
    <xf numFmtId="0" fontId="75" fillId="15" borderId="10" xfId="71" applyFont="1" applyFill="1" applyBorder="1" applyAlignment="1">
      <alignment horizontal="left" vertical="center"/>
      <protection/>
    </xf>
    <xf numFmtId="177" fontId="75" fillId="15" borderId="88" xfId="51" applyNumberFormat="1" applyFont="1" applyFill="1" applyBorder="1" applyAlignment="1">
      <alignment horizontal="center" vertical="center"/>
    </xf>
    <xf numFmtId="177" fontId="75" fillId="15" borderId="93" xfId="51" applyNumberFormat="1" applyFont="1" applyFill="1" applyBorder="1" applyAlignment="1">
      <alignment horizontal="center" vertical="center"/>
    </xf>
    <xf numFmtId="0" fontId="78" fillId="19" borderId="12" xfId="0" applyFont="1" applyFill="1" applyBorder="1" applyAlignment="1">
      <alignment horizontal="center"/>
    </xf>
    <xf numFmtId="0" fontId="78" fillId="19" borderId="98" xfId="71" applyFont="1" applyFill="1" applyBorder="1" applyAlignment="1">
      <alignment horizontal="center" wrapText="1"/>
      <protection/>
    </xf>
    <xf numFmtId="0" fontId="78" fillId="19" borderId="12" xfId="0" applyFont="1" applyFill="1" applyBorder="1" applyAlignment="1">
      <alignment horizontal="center" wrapText="1"/>
    </xf>
    <xf numFmtId="0" fontId="78" fillId="19" borderId="115" xfId="0" applyFont="1" applyFill="1" applyBorder="1" applyAlignment="1">
      <alignment horizontal="center" wrapText="1"/>
    </xf>
    <xf numFmtId="177" fontId="75" fillId="15" borderId="59" xfId="51" applyNumberFormat="1" applyFont="1" applyFill="1" applyBorder="1" applyAlignment="1">
      <alignment horizontal="center" vertical="center"/>
    </xf>
    <xf numFmtId="3" fontId="75" fillId="17" borderId="59" xfId="0" applyNumberFormat="1" applyFont="1" applyFill="1" applyBorder="1" applyAlignment="1">
      <alignment horizontal="center" vertical="center"/>
    </xf>
    <xf numFmtId="0" fontId="75" fillId="15" borderId="59" xfId="71" applyFont="1" applyFill="1" applyBorder="1" applyAlignment="1">
      <alignment horizontal="left" vertical="center"/>
      <protection/>
    </xf>
    <xf numFmtId="177" fontId="75" fillId="15" borderId="90" xfId="51" applyNumberFormat="1" applyFont="1" applyFill="1" applyBorder="1" applyAlignment="1">
      <alignment horizontal="center" vertical="center"/>
    </xf>
    <xf numFmtId="0" fontId="12" fillId="0" borderId="97" xfId="71" applyFont="1" applyFill="1" applyBorder="1" applyAlignment="1">
      <alignment horizontal="left" vertical="center" wrapText="1"/>
      <protection/>
    </xf>
    <xf numFmtId="177" fontId="12" fillId="15" borderId="116" xfId="0" applyNumberFormat="1" applyFont="1" applyFill="1" applyBorder="1" applyAlignment="1">
      <alignment horizontal="center" vertical="center"/>
    </xf>
    <xf numFmtId="0" fontId="12" fillId="17" borderId="97" xfId="0" applyFont="1" applyFill="1" applyBorder="1" applyAlignment="1">
      <alignment horizontal="center" vertical="center"/>
    </xf>
    <xf numFmtId="6" fontId="6" fillId="5" borderId="97" xfId="0" applyNumberFormat="1" applyFont="1" applyFill="1" applyBorder="1" applyAlignment="1">
      <alignment horizontal="center" vertical="center"/>
    </xf>
    <xf numFmtId="0" fontId="12" fillId="0" borderId="10" xfId="71" applyFont="1" applyFill="1" applyBorder="1" applyAlignment="1">
      <alignment horizontal="left" vertical="center" wrapText="1"/>
      <protection/>
    </xf>
    <xf numFmtId="177" fontId="12" fillId="15" borderId="20" xfId="0" applyNumberFormat="1" applyFont="1" applyFill="1" applyBorder="1" applyAlignment="1">
      <alignment horizontal="center" vertical="center"/>
    </xf>
    <xf numFmtId="0" fontId="12" fillId="17" borderId="16" xfId="0" applyFont="1" applyFill="1" applyBorder="1" applyAlignment="1">
      <alignment horizontal="center" vertical="center"/>
    </xf>
    <xf numFmtId="6" fontId="6" fillId="5" borderId="10" xfId="0" applyNumberFormat="1" applyFont="1" applyFill="1" applyBorder="1" applyAlignment="1">
      <alignment horizontal="center" vertical="center"/>
    </xf>
    <xf numFmtId="0" fontId="12" fillId="15" borderId="10" xfId="71" applyFont="1" applyFill="1" applyBorder="1" applyAlignment="1">
      <alignment horizontal="left" vertical="center" wrapText="1"/>
      <protection/>
    </xf>
    <xf numFmtId="0" fontId="12" fillId="0" borderId="10" xfId="71" applyFont="1" applyFill="1" applyBorder="1" applyAlignment="1">
      <alignment horizontal="left" vertical="center"/>
      <protection/>
    </xf>
    <xf numFmtId="0" fontId="12" fillId="0" borderId="17" xfId="71" applyFont="1" applyFill="1" applyBorder="1" applyAlignment="1">
      <alignment horizontal="left" vertical="center" wrapText="1"/>
      <protection/>
    </xf>
    <xf numFmtId="177" fontId="12" fillId="15" borderId="23" xfId="0" applyNumberFormat="1" applyFont="1" applyFill="1" applyBorder="1" applyAlignment="1">
      <alignment horizontal="center" vertical="center"/>
    </xf>
    <xf numFmtId="0" fontId="12" fillId="17" borderId="17" xfId="0" applyFont="1" applyFill="1" applyBorder="1" applyAlignment="1">
      <alignment horizontal="center" vertical="center"/>
    </xf>
    <xf numFmtId="6" fontId="6" fillId="5" borderId="23" xfId="0" applyNumberFormat="1" applyFont="1" applyFill="1" applyBorder="1" applyAlignment="1">
      <alignment horizontal="center" vertical="center"/>
    </xf>
    <xf numFmtId="0" fontId="12" fillId="0" borderId="10" xfId="71" applyFont="1" applyBorder="1" applyAlignment="1">
      <alignment horizontal="left" vertical="center"/>
      <protection/>
    </xf>
    <xf numFmtId="0" fontId="12" fillId="0" borderId="10" xfId="0" applyFont="1" applyBorder="1" applyAlignment="1">
      <alignment horizontal="left" vertical="center"/>
    </xf>
    <xf numFmtId="177" fontId="12" fillId="15" borderId="16" xfId="50" applyNumberFormat="1" applyFont="1" applyFill="1" applyBorder="1" applyAlignment="1">
      <alignment horizontal="center" vertical="center"/>
    </xf>
    <xf numFmtId="0" fontId="12" fillId="0" borderId="59" xfId="71" applyFont="1" applyBorder="1" applyAlignment="1">
      <alignment horizontal="left" vertical="center"/>
      <protection/>
    </xf>
    <xf numFmtId="177" fontId="12" fillId="15" borderId="117" xfId="0" applyNumberFormat="1" applyFont="1" applyFill="1" applyBorder="1" applyAlignment="1">
      <alignment horizontal="center" vertical="center"/>
    </xf>
    <xf numFmtId="0" fontId="12" fillId="17" borderId="114" xfId="0" applyFont="1" applyFill="1" applyBorder="1" applyAlignment="1">
      <alignment horizontal="center" vertical="center"/>
    </xf>
    <xf numFmtId="0" fontId="2" fillId="0" borderId="11" xfId="0" applyFont="1" applyBorder="1" applyAlignment="1">
      <alignment wrapText="1"/>
    </xf>
    <xf numFmtId="0" fontId="40" fillId="15" borderId="0" xfId="71" applyFont="1" applyFill="1" applyBorder="1" applyAlignment="1" applyProtection="1">
      <alignment horizontal="left" vertical="top"/>
      <protection locked="0"/>
    </xf>
    <xf numFmtId="0" fontId="16" fillId="15" borderId="0" xfId="0" applyFont="1" applyFill="1" applyBorder="1" applyAlignment="1">
      <alignment horizontal="left"/>
    </xf>
    <xf numFmtId="0" fontId="16" fillId="15" borderId="0" xfId="0" applyFont="1" applyFill="1" applyBorder="1" applyAlignment="1">
      <alignment/>
    </xf>
    <xf numFmtId="0" fontId="40" fillId="15" borderId="0" xfId="71" applyFont="1" applyFill="1" applyBorder="1" applyAlignment="1" applyProtection="1">
      <alignment horizontal="left"/>
      <protection locked="0"/>
    </xf>
    <xf numFmtId="6" fontId="74" fillId="15" borderId="118" xfId="0" applyNumberFormat="1" applyFont="1" applyFill="1" applyBorder="1" applyAlignment="1">
      <alignment horizontal="center" vertical="center"/>
    </xf>
    <xf numFmtId="0" fontId="58" fillId="17" borderId="24" xfId="0" applyFont="1" applyFill="1" applyBorder="1" applyAlignment="1">
      <alignment horizontal="center" vertical="center"/>
    </xf>
    <xf numFmtId="6" fontId="6" fillId="5" borderId="15" xfId="0" applyNumberFormat="1" applyFont="1" applyFill="1" applyBorder="1" applyAlignment="1">
      <alignment horizontal="center" vertical="center"/>
    </xf>
    <xf numFmtId="6" fontId="74" fillId="5" borderId="119" xfId="0" applyNumberFormat="1" applyFont="1" applyFill="1" applyBorder="1" applyAlignment="1">
      <alignment horizontal="center" vertical="center"/>
    </xf>
    <xf numFmtId="4" fontId="0" fillId="15" borderId="45" xfId="0" applyNumberFormat="1" applyFill="1" applyBorder="1" applyAlignment="1">
      <alignment horizontal="center"/>
    </xf>
    <xf numFmtId="171" fontId="116" fillId="23" borderId="120" xfId="0" applyNumberFormat="1" applyFont="1" applyFill="1" applyBorder="1" applyAlignment="1">
      <alignment horizontal="center" vertical="center"/>
    </xf>
    <xf numFmtId="171" fontId="116" fillId="15" borderId="0" xfId="0" applyNumberFormat="1" applyFont="1" applyFill="1" applyBorder="1" applyAlignment="1">
      <alignment horizontal="center" vertical="center"/>
    </xf>
    <xf numFmtId="2" fontId="0" fillId="2" borderId="10" xfId="0" applyNumberFormat="1" applyFill="1" applyBorder="1" applyAlignment="1">
      <alignment horizontal="center"/>
    </xf>
    <xf numFmtId="2" fontId="0" fillId="2" borderId="59" xfId="0" applyNumberFormat="1" applyFill="1" applyBorder="1" applyAlignment="1">
      <alignment horizontal="center"/>
    </xf>
    <xf numFmtId="4" fontId="0" fillId="2" borderId="10" xfId="0" applyNumberFormat="1" applyFill="1" applyBorder="1" applyAlignment="1">
      <alignment horizontal="center"/>
    </xf>
    <xf numFmtId="4" fontId="0" fillId="2" borderId="59" xfId="0" applyNumberFormat="1" applyFill="1" applyBorder="1" applyAlignment="1">
      <alignment horizontal="center"/>
    </xf>
    <xf numFmtId="3" fontId="0" fillId="17" borderId="10" xfId="0" applyNumberFormat="1" applyFont="1" applyFill="1" applyBorder="1" applyAlignment="1" applyProtection="1">
      <alignment horizontal="center"/>
      <protection locked="0"/>
    </xf>
    <xf numFmtId="0" fontId="105" fillId="0" borderId="0" xfId="0" applyFont="1" applyAlignment="1">
      <alignment vertical="center"/>
    </xf>
    <xf numFmtId="0" fontId="0" fillId="0" borderId="20" xfId="0" applyBorder="1" applyAlignment="1">
      <alignment vertical="center"/>
    </xf>
    <xf numFmtId="0" fontId="0" fillId="15" borderId="91" xfId="0" applyFill="1" applyBorder="1" applyAlignment="1">
      <alignment/>
    </xf>
    <xf numFmtId="0" fontId="0" fillId="0" borderId="13" xfId="0" applyBorder="1" applyAlignment="1">
      <alignment vertical="center"/>
    </xf>
    <xf numFmtId="3" fontId="0" fillId="15" borderId="91" xfId="0" applyNumberFormat="1" applyFill="1" applyBorder="1" applyAlignment="1">
      <alignment horizontal="center"/>
    </xf>
    <xf numFmtId="0" fontId="0" fillId="0" borderId="21" xfId="0" applyBorder="1" applyAlignment="1">
      <alignment vertical="center"/>
    </xf>
    <xf numFmtId="2" fontId="0" fillId="15" borderId="59" xfId="0" applyNumberFormat="1" applyFill="1" applyBorder="1" applyAlignment="1">
      <alignment horizontal="center"/>
    </xf>
    <xf numFmtId="4" fontId="0" fillId="15" borderId="91" xfId="0" applyNumberFormat="1" applyFill="1" applyBorder="1" applyAlignment="1">
      <alignment horizontal="center"/>
    </xf>
    <xf numFmtId="0" fontId="0" fillId="0" borderId="13" xfId="71" applyFill="1" applyBorder="1" applyProtection="1">
      <alignment/>
      <protection locked="0"/>
    </xf>
    <xf numFmtId="0" fontId="16" fillId="0" borderId="0" xfId="71" applyFont="1" applyFill="1" applyBorder="1" applyAlignment="1" applyProtection="1">
      <alignment horizontal="left" vertical="center"/>
      <protection locked="0"/>
    </xf>
    <xf numFmtId="177" fontId="60" fillId="15" borderId="119" xfId="47" applyNumberFormat="1" applyFont="1" applyFill="1" applyBorder="1" applyAlignment="1">
      <alignment horizontal="center" vertical="center"/>
    </xf>
    <xf numFmtId="6" fontId="76" fillId="5" borderId="59" xfId="0" applyNumberFormat="1" applyFont="1" applyFill="1" applyBorder="1" applyAlignment="1">
      <alignment horizontal="center" vertical="center"/>
    </xf>
    <xf numFmtId="177" fontId="0" fillId="0" borderId="0" xfId="0" applyNumberFormat="1" applyAlignment="1">
      <alignment/>
    </xf>
    <xf numFmtId="1" fontId="36" fillId="15" borderId="0" xfId="71" applyNumberFormat="1" applyFont="1" applyFill="1" applyBorder="1" applyAlignment="1">
      <alignment horizontal="center" vertical="center"/>
      <protection/>
    </xf>
    <xf numFmtId="177" fontId="59" fillId="15" borderId="11" xfId="51" applyNumberFormat="1" applyFont="1" applyFill="1" applyBorder="1" applyAlignment="1">
      <alignment horizontal="center" vertical="center"/>
    </xf>
    <xf numFmtId="0" fontId="61" fillId="19" borderId="121" xfId="71" applyFont="1" applyFill="1" applyBorder="1" applyAlignment="1">
      <alignment horizontal="left" vertical="center" wrapText="1"/>
      <protection/>
    </xf>
    <xf numFmtId="177" fontId="0" fillId="15" borderId="10" xfId="0" applyNumberFormat="1" applyFill="1" applyBorder="1" applyAlignment="1">
      <alignment/>
    </xf>
    <xf numFmtId="44" fontId="0" fillId="0" borderId="0" xfId="0" applyNumberFormat="1" applyAlignment="1">
      <alignment/>
    </xf>
    <xf numFmtId="177" fontId="60" fillId="15" borderId="94" xfId="45" applyNumberFormat="1" applyFont="1" applyFill="1" applyBorder="1" applyAlignment="1">
      <alignment horizontal="center" vertical="center"/>
    </xf>
    <xf numFmtId="177" fontId="3" fillId="0" borderId="119" xfId="0" applyNumberFormat="1" applyFont="1" applyBorder="1" applyAlignment="1">
      <alignment horizontal="center" vertical="center"/>
    </xf>
    <xf numFmtId="6" fontId="4" fillId="15" borderId="102" xfId="0" applyNumberFormat="1" applyFont="1" applyFill="1" applyBorder="1" applyAlignment="1">
      <alignment horizontal="center" vertical="center"/>
    </xf>
    <xf numFmtId="6" fontId="4" fillId="15" borderId="87" xfId="0" applyNumberFormat="1" applyFont="1" applyFill="1" applyBorder="1" applyAlignment="1">
      <alignment horizontal="center" vertical="center"/>
    </xf>
    <xf numFmtId="6" fontId="4" fillId="15" borderId="88" xfId="0" applyNumberFormat="1" applyFont="1" applyFill="1" applyBorder="1" applyAlignment="1">
      <alignment horizontal="center" vertical="center"/>
    </xf>
    <xf numFmtId="6" fontId="4" fillId="15" borderId="103" xfId="0" applyNumberFormat="1" applyFont="1" applyFill="1" applyBorder="1" applyAlignment="1">
      <alignment horizontal="center" vertical="center"/>
    </xf>
    <xf numFmtId="0" fontId="71" fillId="19" borderId="104" xfId="71" applyFont="1" applyFill="1" applyBorder="1" applyAlignment="1">
      <alignment horizontal="center" vertical="center" wrapText="1"/>
      <protection/>
    </xf>
    <xf numFmtId="6" fontId="4" fillId="15" borderId="104" xfId="0" applyNumberFormat="1" applyFont="1" applyFill="1" applyBorder="1" applyAlignment="1">
      <alignment horizontal="center" vertical="center"/>
    </xf>
    <xf numFmtId="0" fontId="43" fillId="18" borderId="11" xfId="71" applyFont="1" applyFill="1" applyBorder="1" applyAlignment="1" applyProtection="1">
      <alignment horizontal="left" vertical="center"/>
      <protection/>
    </xf>
    <xf numFmtId="0" fontId="43" fillId="18" borderId="12" xfId="71" applyFont="1" applyFill="1" applyBorder="1" applyAlignment="1" applyProtection="1">
      <alignment horizontal="left" vertical="center"/>
      <protection/>
    </xf>
    <xf numFmtId="0" fontId="0" fillId="0" borderId="122" xfId="0" applyBorder="1" applyAlignment="1" applyProtection="1">
      <alignment/>
      <protection/>
    </xf>
    <xf numFmtId="0" fontId="2" fillId="0" borderId="67" xfId="0" applyFont="1" applyBorder="1" applyAlignment="1" applyProtection="1">
      <alignment horizontal="centerContinuous"/>
      <protection/>
    </xf>
    <xf numFmtId="0" fontId="2" fillId="0" borderId="68" xfId="0" applyFont="1" applyBorder="1" applyAlignment="1" applyProtection="1">
      <alignment horizontal="centerContinuous"/>
      <protection/>
    </xf>
    <xf numFmtId="0" fontId="2" fillId="0" borderId="74" xfId="0" applyFont="1" applyBorder="1" applyAlignment="1" applyProtection="1">
      <alignment horizontal="centerContinuous"/>
      <protection/>
    </xf>
    <xf numFmtId="0" fontId="0" fillId="0" borderId="75" xfId="0" applyBorder="1" applyAlignment="1" applyProtection="1">
      <alignment/>
      <protection/>
    </xf>
    <xf numFmtId="0" fontId="0" fillId="0" borderId="74" xfId="0" applyBorder="1" applyAlignment="1" applyProtection="1">
      <alignment/>
      <protection/>
    </xf>
    <xf numFmtId="0" fontId="2" fillId="0" borderId="123" xfId="0" applyFont="1" applyBorder="1" applyAlignment="1" applyProtection="1">
      <alignment horizontal="right"/>
      <protection/>
    </xf>
    <xf numFmtId="0" fontId="0" fillId="0" borderId="69" xfId="0" applyBorder="1" applyAlignment="1" applyProtection="1">
      <alignment horizontal="center"/>
      <protection/>
    </xf>
    <xf numFmtId="0" fontId="0" fillId="0" borderId="1" xfId="0" applyBorder="1" applyAlignment="1" applyProtection="1">
      <alignment horizontal="center"/>
      <protection/>
    </xf>
    <xf numFmtId="0" fontId="0" fillId="0" borderId="70" xfId="0" applyBorder="1" applyAlignment="1" applyProtection="1">
      <alignment horizontal="center"/>
      <protection/>
    </xf>
    <xf numFmtId="0" fontId="0" fillId="0" borderId="73" xfId="0" applyFont="1" applyBorder="1" applyAlignment="1" applyProtection="1">
      <alignment/>
      <protection/>
    </xf>
    <xf numFmtId="0" fontId="0" fillId="0" borderId="70" xfId="0" applyBorder="1" applyAlignment="1" applyProtection="1">
      <alignment/>
      <protection/>
    </xf>
    <xf numFmtId="0" fontId="0" fillId="0" borderId="73" xfId="0" applyFont="1" applyBorder="1" applyAlignment="1" applyProtection="1">
      <alignment horizontal="center"/>
      <protection/>
    </xf>
    <xf numFmtId="0" fontId="0" fillId="0" borderId="70" xfId="0" applyFont="1" applyBorder="1" applyAlignment="1" applyProtection="1">
      <alignment horizontal="center"/>
      <protection/>
    </xf>
    <xf numFmtId="0" fontId="2" fillId="0" borderId="124" xfId="0" applyFont="1"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7" xfId="0" applyBorder="1" applyAlignment="1" applyProtection="1">
      <alignment horizontal="center"/>
      <protection/>
    </xf>
    <xf numFmtId="0" fontId="0" fillId="0" borderId="76" xfId="0" applyBorder="1" applyAlignment="1" applyProtection="1">
      <alignment horizontal="center"/>
      <protection/>
    </xf>
    <xf numFmtId="0" fontId="0" fillId="0" borderId="125" xfId="0" applyBorder="1" applyAlignment="1" applyProtection="1">
      <alignment horizontal="center"/>
      <protection/>
    </xf>
    <xf numFmtId="0" fontId="0" fillId="0" borderId="126" xfId="0" applyBorder="1" applyAlignment="1" applyProtection="1">
      <alignment horizontal="center"/>
      <protection/>
    </xf>
    <xf numFmtId="0" fontId="0" fillId="0" borderId="127" xfId="0" applyBorder="1" applyAlignment="1" applyProtection="1">
      <alignment horizontal="center"/>
      <protection/>
    </xf>
    <xf numFmtId="0" fontId="0" fillId="0" borderId="128" xfId="0" applyBorder="1" applyAlignment="1" applyProtection="1">
      <alignment horizontal="center"/>
      <protection/>
    </xf>
    <xf numFmtId="9" fontId="0" fillId="0" borderId="129" xfId="0" applyNumberFormat="1" applyBorder="1" applyAlignment="1" applyProtection="1">
      <alignment horizontal="center"/>
      <protection/>
    </xf>
    <xf numFmtId="3" fontId="0" fillId="0" borderId="128" xfId="0" applyNumberFormat="1" applyBorder="1" applyAlignment="1" applyProtection="1">
      <alignment horizontal="center"/>
      <protection/>
    </xf>
    <xf numFmtId="0" fontId="0" fillId="0" borderId="123" xfId="0" applyBorder="1" applyAlignment="1" applyProtection="1">
      <alignment horizontal="center"/>
      <protection/>
    </xf>
    <xf numFmtId="9" fontId="0" fillId="0" borderId="73" xfId="0" applyNumberFormat="1" applyBorder="1" applyAlignment="1" applyProtection="1">
      <alignment horizontal="center"/>
      <protection/>
    </xf>
    <xf numFmtId="3" fontId="0" fillId="0" borderId="70" xfId="0" applyNumberFormat="1" applyBorder="1" applyAlignment="1" applyProtection="1">
      <alignment horizontal="center"/>
      <protection/>
    </xf>
    <xf numFmtId="0" fontId="0" fillId="0" borderId="124" xfId="0" applyBorder="1" applyAlignment="1" applyProtection="1">
      <alignment horizontal="center"/>
      <protection/>
    </xf>
    <xf numFmtId="9" fontId="0" fillId="0" borderId="76" xfId="0" applyNumberFormat="1" applyBorder="1" applyAlignment="1" applyProtection="1">
      <alignment horizontal="center"/>
      <protection/>
    </xf>
    <xf numFmtId="3" fontId="0" fillId="0" borderId="77" xfId="0" applyNumberFormat="1" applyBorder="1" applyAlignment="1" applyProtection="1">
      <alignment horizontal="center"/>
      <protection/>
    </xf>
    <xf numFmtId="0" fontId="0" fillId="0" borderId="11" xfId="0" applyFont="1" applyBorder="1" applyAlignment="1">
      <alignment/>
    </xf>
    <xf numFmtId="207" fontId="0" fillId="0" borderId="10" xfId="0" applyNumberFormat="1" applyBorder="1" applyAlignment="1">
      <alignment/>
    </xf>
    <xf numFmtId="0" fontId="0" fillId="0" borderId="10" xfId="0" applyFont="1" applyBorder="1" applyAlignment="1">
      <alignment horizontal="center"/>
    </xf>
    <xf numFmtId="0" fontId="0" fillId="0" borderId="10" xfId="0" applyFont="1" applyBorder="1" applyAlignment="1">
      <alignment horizontal="center" wrapText="1"/>
    </xf>
    <xf numFmtId="0" fontId="0" fillId="0" borderId="0" xfId="0" applyFont="1" applyAlignment="1">
      <alignment horizontal="center" wrapText="1"/>
    </xf>
    <xf numFmtId="0" fontId="0" fillId="0" borderId="130" xfId="0" applyBorder="1" applyAlignment="1">
      <alignment horizontal="center"/>
    </xf>
    <xf numFmtId="4" fontId="0" fillId="0" borderId="131" xfId="0" applyNumberFormat="1" applyBorder="1" applyAlignment="1">
      <alignment horizontal="center"/>
    </xf>
    <xf numFmtId="0" fontId="0" fillId="0" borderId="132" xfId="0" applyBorder="1" applyAlignment="1">
      <alignment horizontal="center"/>
    </xf>
    <xf numFmtId="4" fontId="0" fillId="0" borderId="133" xfId="0" applyNumberFormat="1" applyBorder="1" applyAlignment="1">
      <alignment horizontal="center"/>
    </xf>
    <xf numFmtId="0" fontId="0" fillId="0" borderId="134" xfId="0" applyBorder="1" applyAlignment="1">
      <alignment horizontal="center"/>
    </xf>
    <xf numFmtId="4" fontId="0" fillId="0" borderId="135" xfId="0" applyNumberFormat="1" applyBorder="1" applyAlignment="1">
      <alignment horizontal="center"/>
    </xf>
    <xf numFmtId="0" fontId="0" fillId="0" borderId="10" xfId="0" applyFont="1" applyBorder="1" applyAlignment="1">
      <alignment/>
    </xf>
    <xf numFmtId="4" fontId="0" fillId="0" borderId="10" xfId="0" applyNumberFormat="1" applyBorder="1" applyAlignment="1">
      <alignment/>
    </xf>
    <xf numFmtId="3" fontId="0" fillId="3" borderId="127" xfId="47" applyNumberFormat="1" applyFont="1" applyFill="1" applyBorder="1" applyAlignment="1">
      <alignment horizontal="center" vertical="center"/>
    </xf>
    <xf numFmtId="172" fontId="0" fillId="3" borderId="128" xfId="47" applyNumberFormat="1" applyFont="1" applyFill="1" applyBorder="1" applyAlignment="1">
      <alignment horizontal="center" vertical="center"/>
    </xf>
    <xf numFmtId="0" fontId="117" fillId="0" borderId="0" xfId="0" applyFont="1" applyAlignment="1">
      <alignment/>
    </xf>
    <xf numFmtId="0" fontId="117" fillId="0" borderId="0" xfId="0" applyFont="1" applyBorder="1" applyAlignment="1">
      <alignment/>
    </xf>
    <xf numFmtId="0" fontId="117" fillId="0" borderId="0" xfId="0" applyFont="1" applyFill="1" applyBorder="1" applyAlignment="1">
      <alignment/>
    </xf>
    <xf numFmtId="0" fontId="16" fillId="15" borderId="25" xfId="71" applyFont="1" applyFill="1" applyBorder="1" applyAlignment="1">
      <alignment vertical="center" wrapText="1"/>
      <protection/>
    </xf>
    <xf numFmtId="0" fontId="0" fillId="0" borderId="0" xfId="0" applyAlignment="1">
      <alignment horizontal="center"/>
    </xf>
    <xf numFmtId="0" fontId="0" fillId="2" borderId="136" xfId="0" applyFill="1" applyBorder="1" applyAlignment="1">
      <alignment horizontal="center" vertical="center"/>
    </xf>
    <xf numFmtId="0" fontId="0" fillId="2" borderId="10" xfId="0" applyFill="1" applyBorder="1" applyAlignment="1">
      <alignment horizontal="center"/>
    </xf>
    <xf numFmtId="2" fontId="2" fillId="2" borderId="10" xfId="0" applyNumberFormat="1" applyFont="1" applyFill="1" applyBorder="1" applyAlignment="1">
      <alignment horizontal="center" vertical="center"/>
    </xf>
    <xf numFmtId="0" fontId="0" fillId="0" borderId="0" xfId="71" applyFont="1" applyFill="1" applyBorder="1" applyAlignment="1" applyProtection="1">
      <alignment horizontal="left" vertical="center" wrapText="1"/>
      <protection locked="0"/>
    </xf>
    <xf numFmtId="0" fontId="0" fillId="0" borderId="0" xfId="71" applyFont="1" applyAlignment="1">
      <alignment horizontal="left" vertical="center" wrapText="1"/>
      <protection/>
    </xf>
    <xf numFmtId="0" fontId="0" fillId="0" borderId="0" xfId="71" applyFont="1" applyAlignment="1">
      <alignment horizontal="left" vertical="center"/>
      <protection/>
    </xf>
    <xf numFmtId="0" fontId="9" fillId="17" borderId="33" xfId="62" applyFont="1" applyFill="1" applyBorder="1" applyAlignment="1" applyProtection="1">
      <alignment horizontal="left" vertical="center"/>
      <protection locked="0"/>
    </xf>
    <xf numFmtId="0" fontId="0" fillId="17" borderId="33" xfId="71" applyFont="1" applyFill="1" applyBorder="1" applyAlignment="1" applyProtection="1">
      <alignment horizontal="left" vertical="center"/>
      <protection locked="0"/>
    </xf>
    <xf numFmtId="0" fontId="0" fillId="17" borderId="137" xfId="71" applyFont="1" applyFill="1" applyBorder="1" applyAlignment="1" applyProtection="1">
      <alignment horizontal="left" vertical="center"/>
      <protection locked="0"/>
    </xf>
    <xf numFmtId="0" fontId="4" fillId="0" borderId="0" xfId="71" applyFont="1" applyAlignment="1">
      <alignment horizontal="center" vertical="center" wrapText="1"/>
      <protection/>
    </xf>
    <xf numFmtId="179" fontId="0" fillId="17" borderId="11" xfId="71" applyNumberFormat="1" applyFont="1" applyFill="1" applyBorder="1" applyAlignment="1" applyProtection="1">
      <alignment horizontal="center" vertical="center"/>
      <protection locked="0"/>
    </xf>
    <xf numFmtId="179" fontId="0" fillId="17" borderId="12" xfId="71" applyNumberFormat="1" applyFont="1" applyFill="1" applyBorder="1" applyAlignment="1" applyProtection="1">
      <alignment horizontal="center" vertical="center"/>
      <protection locked="0"/>
    </xf>
    <xf numFmtId="179" fontId="0" fillId="17" borderId="14" xfId="71" applyNumberFormat="1" applyFont="1" applyFill="1" applyBorder="1" applyAlignment="1" applyProtection="1">
      <alignment horizontal="center" vertical="center"/>
      <protection locked="0"/>
    </xf>
    <xf numFmtId="0" fontId="0" fillId="17" borderId="11" xfId="71" applyFont="1" applyFill="1" applyBorder="1" applyAlignment="1" applyProtection="1">
      <alignment horizontal="left" vertical="center"/>
      <protection locked="0"/>
    </xf>
    <xf numFmtId="0" fontId="0" fillId="17" borderId="12" xfId="71" applyFont="1" applyFill="1" applyBorder="1" applyAlignment="1" applyProtection="1">
      <alignment horizontal="left" vertical="center"/>
      <protection locked="0"/>
    </xf>
    <xf numFmtId="0" fontId="0" fillId="17" borderId="14" xfId="71" applyFont="1" applyFill="1" applyBorder="1" applyAlignment="1" applyProtection="1">
      <alignment horizontal="left" vertical="center"/>
      <protection locked="0"/>
    </xf>
    <xf numFmtId="0" fontId="0" fillId="17" borderId="50" xfId="71" applyFont="1" applyFill="1" applyBorder="1" applyAlignment="1" applyProtection="1">
      <alignment horizontal="left" vertical="center"/>
      <protection locked="0"/>
    </xf>
    <xf numFmtId="0" fontId="0" fillId="17" borderId="65" xfId="71" applyFont="1" applyFill="1" applyBorder="1" applyAlignment="1" applyProtection="1">
      <alignment horizontal="left" vertical="center"/>
      <protection locked="0"/>
    </xf>
    <xf numFmtId="0" fontId="3" fillId="17" borderId="11" xfId="71" applyFont="1" applyFill="1" applyBorder="1" applyAlignment="1" applyProtection="1">
      <alignment horizontal="center" vertical="center"/>
      <protection locked="0"/>
    </xf>
    <xf numFmtId="0" fontId="3" fillId="17" borderId="12" xfId="71" applyFont="1" applyFill="1" applyBorder="1" applyAlignment="1" applyProtection="1">
      <alignment horizontal="center" vertical="center"/>
      <protection locked="0"/>
    </xf>
    <xf numFmtId="0" fontId="3" fillId="17" borderId="14" xfId="71" applyFont="1" applyFill="1" applyBorder="1" applyAlignment="1" applyProtection="1">
      <alignment horizontal="center" vertical="center"/>
      <protection locked="0"/>
    </xf>
    <xf numFmtId="0" fontId="0" fillId="17" borderId="50" xfId="71" applyFont="1" applyFill="1" applyBorder="1" applyProtection="1">
      <alignment/>
      <protection locked="0"/>
    </xf>
    <xf numFmtId="0" fontId="0" fillId="17" borderId="65" xfId="71" applyFont="1" applyFill="1" applyBorder="1" applyProtection="1">
      <alignment/>
      <protection locked="0"/>
    </xf>
    <xf numFmtId="174" fontId="12" fillId="17" borderId="11" xfId="46" applyNumberFormat="1" applyFont="1" applyFill="1" applyBorder="1" applyAlignment="1" applyProtection="1">
      <alignment horizontal="center"/>
      <protection locked="0"/>
    </xf>
    <xf numFmtId="174" fontId="12" fillId="17" borderId="12" xfId="46" applyNumberFormat="1" applyFont="1" applyFill="1" applyBorder="1" applyAlignment="1" applyProtection="1">
      <alignment horizontal="center"/>
      <protection locked="0"/>
    </xf>
    <xf numFmtId="174" fontId="12" fillId="17" borderId="14" xfId="46" applyNumberFormat="1" applyFont="1" applyFill="1" applyBorder="1" applyAlignment="1" applyProtection="1">
      <alignment horizontal="center"/>
      <protection locked="0"/>
    </xf>
    <xf numFmtId="0" fontId="118" fillId="0" borderId="23" xfId="0" applyFont="1" applyBorder="1" applyAlignment="1">
      <alignment horizontal="left" vertical="center"/>
    </xf>
    <xf numFmtId="0" fontId="118" fillId="0" borderId="0" xfId="0" applyFont="1" applyBorder="1" applyAlignment="1">
      <alignment horizontal="left" vertical="center"/>
    </xf>
    <xf numFmtId="0" fontId="118" fillId="0" borderId="105" xfId="0" applyFont="1" applyBorder="1" applyAlignment="1">
      <alignment horizontal="left" vertical="center"/>
    </xf>
    <xf numFmtId="0" fontId="47" fillId="0" borderId="0" xfId="71" applyFont="1" applyAlignment="1">
      <alignment horizontal="left" vertical="center" wrapText="1"/>
      <protection/>
    </xf>
    <xf numFmtId="0" fontId="0" fillId="17" borderId="138" xfId="71" applyFont="1" applyFill="1" applyBorder="1" applyAlignment="1" applyProtection="1">
      <alignment horizontal="left" vertical="center"/>
      <protection locked="0"/>
    </xf>
    <xf numFmtId="0" fontId="0" fillId="17" borderId="139" xfId="71" applyFont="1" applyFill="1" applyBorder="1" applyAlignment="1" applyProtection="1">
      <alignment horizontal="left" vertical="center"/>
      <protection locked="0"/>
    </xf>
    <xf numFmtId="0" fontId="0" fillId="15" borderId="140" xfId="71" applyFont="1" applyFill="1" applyBorder="1" applyAlignment="1" applyProtection="1">
      <alignment horizontal="center" vertical="center"/>
      <protection locked="0"/>
    </xf>
    <xf numFmtId="0" fontId="0" fillId="15" borderId="141" xfId="71" applyFont="1" applyFill="1" applyBorder="1" applyAlignment="1" applyProtection="1">
      <alignment horizontal="center" vertical="center"/>
      <protection locked="0"/>
    </xf>
    <xf numFmtId="0" fontId="0" fillId="15" borderId="142" xfId="71" applyFont="1" applyFill="1" applyBorder="1" applyAlignment="1" applyProtection="1">
      <alignment horizontal="center" vertical="center"/>
      <protection locked="0"/>
    </xf>
    <xf numFmtId="0" fontId="0" fillId="0" borderId="0" xfId="71" applyFont="1" applyAlignment="1">
      <alignment horizontal="left" wrapText="1" indent="4"/>
      <protection/>
    </xf>
    <xf numFmtId="0" fontId="0" fillId="0" borderId="0" xfId="71" applyFont="1" applyBorder="1" applyAlignment="1">
      <alignment horizontal="left" wrapText="1" indent="4"/>
      <protection/>
    </xf>
    <xf numFmtId="0" fontId="0" fillId="0" borderId="0" xfId="71" applyFont="1" applyFill="1" applyBorder="1" applyAlignment="1">
      <alignment horizontal="left" vertical="center" wrapText="1" indent="4"/>
      <protection/>
    </xf>
    <xf numFmtId="0" fontId="0" fillId="0" borderId="0" xfId="71" applyFont="1" applyAlignment="1">
      <alignment horizontal="left"/>
      <protection/>
    </xf>
    <xf numFmtId="0" fontId="0" fillId="0" borderId="0" xfId="71" applyFont="1" applyAlignment="1">
      <alignment horizontal="left" wrapText="1"/>
      <protection/>
    </xf>
    <xf numFmtId="0" fontId="0" fillId="0" borderId="0" xfId="71" applyFont="1" applyAlignment="1">
      <alignment horizontal="left" indent="3"/>
      <protection/>
    </xf>
    <xf numFmtId="0" fontId="0" fillId="0" borderId="0" xfId="71" applyFont="1" applyAlignment="1">
      <alignment horizontal="left" wrapText="1" indent="3"/>
      <protection/>
    </xf>
    <xf numFmtId="0" fontId="29" fillId="0" borderId="13" xfId="0" applyFont="1" applyBorder="1" applyAlignment="1">
      <alignment horizontal="left" vertical="center" wrapText="1"/>
    </xf>
    <xf numFmtId="177" fontId="0" fillId="9" borderId="11" xfId="47" applyNumberFormat="1" applyFont="1" applyFill="1" applyBorder="1" applyAlignment="1">
      <alignment horizontal="center" vertical="center"/>
    </xf>
    <xf numFmtId="177" fontId="0" fillId="0" borderId="14" xfId="0" applyNumberFormat="1" applyFont="1" applyBorder="1" applyAlignment="1">
      <alignment horizontal="center" vertical="center"/>
    </xf>
    <xf numFmtId="0" fontId="2" fillId="15" borderId="11" xfId="0" applyFont="1" applyFill="1" applyBorder="1" applyAlignment="1">
      <alignment horizontal="left" vertical="center"/>
    </xf>
    <xf numFmtId="0" fontId="2" fillId="15" borderId="14" xfId="0" applyFont="1" applyFill="1" applyBorder="1" applyAlignment="1">
      <alignment horizontal="left" vertical="center"/>
    </xf>
    <xf numFmtId="3" fontId="2" fillId="17" borderId="11" xfId="42" applyNumberFormat="1" applyFont="1" applyFill="1" applyBorder="1" applyAlignment="1">
      <alignment horizontal="center" vertical="center"/>
    </xf>
    <xf numFmtId="3" fontId="2" fillId="17" borderId="14" xfId="42" applyNumberFormat="1" applyFont="1" applyFill="1" applyBorder="1" applyAlignment="1">
      <alignment horizontal="center" vertical="center"/>
    </xf>
    <xf numFmtId="0" fontId="0" fillId="15" borderId="10" xfId="0" applyFont="1" applyFill="1" applyBorder="1" applyAlignment="1">
      <alignment horizontal="center" wrapText="1"/>
    </xf>
    <xf numFmtId="0" fontId="0" fillId="0" borderId="10" xfId="0" applyFont="1" applyBorder="1" applyAlignment="1">
      <alignment wrapText="1"/>
    </xf>
    <xf numFmtId="0" fontId="2" fillId="2" borderId="15" xfId="0" applyFont="1" applyFill="1" applyBorder="1" applyAlignment="1">
      <alignment horizontal="center" wrapText="1"/>
    </xf>
    <xf numFmtId="0" fontId="0" fillId="2" borderId="15" xfId="0" applyFont="1" applyFill="1" applyBorder="1" applyAlignment="1">
      <alignment wrapText="1"/>
    </xf>
    <xf numFmtId="0" fontId="2" fillId="2" borderId="16" xfId="0" applyFont="1" applyFill="1" applyBorder="1" applyAlignment="1">
      <alignment horizontal="center" wrapText="1"/>
    </xf>
    <xf numFmtId="0" fontId="0" fillId="2" borderId="16" xfId="0" applyFont="1" applyFill="1" applyBorder="1" applyAlignment="1">
      <alignment wrapText="1"/>
    </xf>
    <xf numFmtId="0" fontId="0" fillId="0" borderId="13" xfId="0" applyFont="1" applyBorder="1" applyAlignment="1">
      <alignment horizontal="left" vertical="center" wrapText="1"/>
    </xf>
    <xf numFmtId="0" fontId="2" fillId="15" borderId="13" xfId="71" applyFont="1" applyFill="1" applyBorder="1" applyAlignment="1" applyProtection="1">
      <alignment horizontal="center" vertical="center"/>
      <protection locked="0"/>
    </xf>
    <xf numFmtId="0" fontId="36" fillId="15" borderId="22" xfId="71" applyFont="1" applyFill="1" applyBorder="1" applyAlignment="1">
      <alignment horizontal="center" vertical="center"/>
      <protection/>
    </xf>
    <xf numFmtId="0" fontId="0" fillId="2" borderId="143" xfId="0" applyFont="1" applyFill="1" applyBorder="1" applyAlignment="1">
      <alignment horizontal="center"/>
    </xf>
    <xf numFmtId="0" fontId="0" fillId="2" borderId="144" xfId="0" applyFont="1" applyFill="1" applyBorder="1" applyAlignment="1">
      <alignment horizontal="center"/>
    </xf>
    <xf numFmtId="7" fontId="0" fillId="2" borderId="0" xfId="47" applyNumberFormat="1" applyFont="1" applyFill="1" applyBorder="1" applyAlignment="1">
      <alignment horizontal="center"/>
    </xf>
    <xf numFmtId="0" fontId="0" fillId="2" borderId="13" xfId="0" applyFont="1" applyFill="1" applyBorder="1" applyAlignment="1">
      <alignment horizontal="center"/>
    </xf>
    <xf numFmtId="0" fontId="0" fillId="2" borderId="145" xfId="0" applyFont="1" applyFill="1" applyBorder="1" applyAlignment="1">
      <alignment horizontal="center"/>
    </xf>
    <xf numFmtId="0" fontId="62" fillId="0" borderId="10" xfId="0" applyFont="1" applyBorder="1" applyAlignment="1">
      <alignment horizontal="left" vertical="center"/>
    </xf>
    <xf numFmtId="0" fontId="0" fillId="0" borderId="0" xfId="0" applyFont="1" applyAlignment="1">
      <alignment horizontal="left" vertical="center" wrapText="1"/>
    </xf>
    <xf numFmtId="0" fontId="0" fillId="15" borderId="13" xfId="0" applyFill="1" applyBorder="1" applyAlignment="1">
      <alignment horizontal="center"/>
    </xf>
    <xf numFmtId="194" fontId="36" fillId="15" borderId="0" xfId="71" applyNumberFormat="1" applyFont="1" applyFill="1" applyBorder="1" applyAlignment="1" applyProtection="1">
      <alignment horizontal="center" vertical="center"/>
      <protection locked="0"/>
    </xf>
    <xf numFmtId="0" fontId="0" fillId="2" borderId="13" xfId="0" applyFont="1" applyFill="1" applyBorder="1" applyAlignment="1">
      <alignment horizontal="center" wrapText="1"/>
    </xf>
    <xf numFmtId="7" fontId="0" fillId="2" borderId="22" xfId="47"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2" fillId="15" borderId="13" xfId="0" applyFont="1" applyFill="1" applyBorder="1" applyAlignment="1" applyProtection="1">
      <alignment horizontal="center" vertical="center"/>
      <protection locked="0"/>
    </xf>
    <xf numFmtId="0" fontId="0" fillId="0" borderId="19" xfId="0" applyFont="1" applyBorder="1" applyAlignment="1">
      <alignment horizontal="left" vertical="center" wrapText="1"/>
    </xf>
    <xf numFmtId="0" fontId="0" fillId="0" borderId="105" xfId="0" applyBorder="1" applyAlignment="1">
      <alignment horizontal="left"/>
    </xf>
    <xf numFmtId="0" fontId="0" fillId="0" borderId="21" xfId="0" applyBorder="1" applyAlignment="1">
      <alignment horizontal="left"/>
    </xf>
    <xf numFmtId="0" fontId="115" fillId="19" borderId="11" xfId="0" applyFont="1" applyFill="1" applyBorder="1" applyAlignment="1">
      <alignment horizontal="center" vertical="center"/>
    </xf>
    <xf numFmtId="0" fontId="115" fillId="19" borderId="14" xfId="0" applyFont="1" applyFill="1" applyBorder="1" applyAlignment="1">
      <alignment horizontal="center" vertical="center"/>
    </xf>
    <xf numFmtId="0" fontId="0" fillId="0" borderId="0" xfId="0" applyFont="1" applyAlignment="1">
      <alignment horizontal="left" vertical="top"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105" fillId="0" borderId="0" xfId="0" applyFont="1" applyAlignment="1">
      <alignment horizontal="center" vertical="center"/>
    </xf>
    <xf numFmtId="0" fontId="0" fillId="0" borderId="0" xfId="0" applyAlignment="1">
      <alignment horizontal="left" vertical="top"/>
    </xf>
    <xf numFmtId="8" fontId="0" fillId="0" borderId="18" xfId="0" applyNumberFormat="1" applyFont="1" applyBorder="1" applyAlignment="1">
      <alignment horizontal="right" vertical="center" wrapText="1"/>
    </xf>
    <xf numFmtId="0" fontId="0" fillId="0" borderId="23" xfId="0" applyBorder="1" applyAlignment="1">
      <alignment horizontal="right"/>
    </xf>
    <xf numFmtId="0" fontId="0" fillId="0" borderId="20" xfId="0" applyBorder="1" applyAlignment="1">
      <alignment horizontal="right"/>
    </xf>
    <xf numFmtId="0" fontId="108" fillId="0" borderId="0" xfId="0" applyFont="1" applyAlignment="1">
      <alignment horizontal="center" vertical="center"/>
    </xf>
    <xf numFmtId="0" fontId="4" fillId="15" borderId="100" xfId="0" applyFont="1" applyFill="1" applyBorder="1" applyAlignment="1">
      <alignment horizontal="center" vertical="center" wrapText="1"/>
    </xf>
    <xf numFmtId="0" fontId="4" fillId="15" borderId="114" xfId="0" applyFont="1" applyFill="1" applyBorder="1" applyAlignment="1">
      <alignment horizontal="center" vertical="center" wrapText="1"/>
    </xf>
    <xf numFmtId="177" fontId="12" fillId="15" borderId="108" xfId="0" applyNumberFormat="1" applyFont="1" applyFill="1" applyBorder="1" applyAlignment="1">
      <alignment horizontal="center" vertical="center" wrapText="1"/>
    </xf>
    <xf numFmtId="177" fontId="12" fillId="15" borderId="103" xfId="0" applyNumberFormat="1" applyFont="1" applyFill="1" applyBorder="1" applyAlignment="1">
      <alignment horizontal="center" vertical="center" wrapText="1"/>
    </xf>
    <xf numFmtId="0" fontId="64" fillId="0" borderId="15" xfId="0" applyFont="1" applyBorder="1" applyAlignment="1">
      <alignment horizontal="left" vertical="center" wrapText="1"/>
    </xf>
    <xf numFmtId="0" fontId="64" fillId="0" borderId="16" xfId="0" applyFont="1" applyBorder="1" applyAlignment="1">
      <alignment horizontal="left" vertical="center" wrapText="1"/>
    </xf>
    <xf numFmtId="6" fontId="76" fillId="5" borderId="100" xfId="0" applyNumberFormat="1" applyFont="1" applyFill="1" applyBorder="1" applyAlignment="1">
      <alignment horizontal="center" vertical="center"/>
    </xf>
    <xf numFmtId="6" fontId="76" fillId="5" borderId="114" xfId="0" applyNumberFormat="1" applyFont="1" applyFill="1" applyBorder="1" applyAlignment="1">
      <alignment horizontal="center" vertical="center"/>
    </xf>
    <xf numFmtId="0" fontId="64" fillId="15" borderId="15" xfId="0" applyFont="1" applyFill="1" applyBorder="1" applyAlignment="1">
      <alignment horizontal="left" vertical="center" wrapText="1"/>
    </xf>
    <xf numFmtId="0" fontId="64" fillId="15" borderId="16" xfId="0" applyFont="1" applyFill="1" applyBorder="1" applyAlignment="1">
      <alignment horizontal="left" vertical="center" wrapText="1"/>
    </xf>
    <xf numFmtId="0" fontId="65" fillId="15" borderId="18" xfId="65" applyFont="1" applyFill="1" applyBorder="1" applyAlignment="1" applyProtection="1">
      <alignment horizontal="center" vertical="center" wrapText="1"/>
      <protection/>
    </xf>
    <xf numFmtId="0" fontId="65" fillId="15" borderId="19" xfId="65" applyFont="1" applyFill="1" applyBorder="1" applyAlignment="1" applyProtection="1">
      <alignment horizontal="center" vertical="center" wrapText="1"/>
      <protection/>
    </xf>
    <xf numFmtId="0" fontId="65" fillId="15" borderId="20" xfId="65" applyFont="1" applyFill="1" applyBorder="1" applyAlignment="1" applyProtection="1">
      <alignment horizontal="center" vertical="center" wrapText="1"/>
      <protection/>
    </xf>
    <xf numFmtId="0" fontId="65" fillId="15" borderId="21" xfId="65" applyFont="1" applyFill="1" applyBorder="1" applyAlignment="1" applyProtection="1">
      <alignment horizontal="center" vertical="center" wrapText="1"/>
      <protection/>
    </xf>
    <xf numFmtId="0" fontId="62" fillId="15" borderId="18" xfId="0" applyFont="1" applyFill="1" applyBorder="1" applyAlignment="1">
      <alignment horizontal="left" vertical="center" wrapText="1"/>
    </xf>
    <xf numFmtId="0" fontId="62" fillId="15" borderId="22" xfId="0" applyFont="1" applyFill="1" applyBorder="1" applyAlignment="1">
      <alignment horizontal="left" vertical="center" wrapText="1"/>
    </xf>
    <xf numFmtId="0" fontId="62" fillId="15" borderId="19" xfId="0" applyFont="1" applyFill="1" applyBorder="1" applyAlignment="1">
      <alignment horizontal="left" vertical="center" wrapText="1"/>
    </xf>
    <xf numFmtId="0" fontId="62" fillId="15" borderId="20" xfId="0" applyFont="1" applyFill="1" applyBorder="1" applyAlignment="1">
      <alignment horizontal="left" vertical="center" wrapText="1"/>
    </xf>
    <xf numFmtId="0" fontId="62" fillId="15" borderId="13" xfId="0" applyFont="1" applyFill="1" applyBorder="1" applyAlignment="1">
      <alignment horizontal="left" vertical="center" wrapText="1"/>
    </xf>
    <xf numFmtId="0" fontId="62" fillId="15" borderId="21" xfId="0" applyFont="1" applyFill="1" applyBorder="1" applyAlignment="1">
      <alignment horizontal="left" vertical="center" wrapText="1"/>
    </xf>
    <xf numFmtId="6" fontId="62" fillId="15" borderId="18" xfId="0" applyNumberFormat="1" applyFont="1" applyFill="1" applyBorder="1" applyAlignment="1">
      <alignment horizontal="left" vertical="center" wrapText="1"/>
    </xf>
    <xf numFmtId="6" fontId="62" fillId="15" borderId="22" xfId="0" applyNumberFormat="1" applyFont="1" applyFill="1" applyBorder="1" applyAlignment="1">
      <alignment horizontal="left" vertical="center" wrapText="1"/>
    </xf>
    <xf numFmtId="6" fontId="62" fillId="15" borderId="19" xfId="0" applyNumberFormat="1" applyFont="1" applyFill="1" applyBorder="1" applyAlignment="1">
      <alignment horizontal="left" vertical="center" wrapText="1"/>
    </xf>
    <xf numFmtId="6" fontId="62" fillId="15" borderId="20" xfId="0" applyNumberFormat="1" applyFont="1" applyFill="1" applyBorder="1" applyAlignment="1">
      <alignment horizontal="left" vertical="center" wrapText="1"/>
    </xf>
    <xf numFmtId="6" fontId="62" fillId="15" borderId="13" xfId="0" applyNumberFormat="1" applyFont="1" applyFill="1" applyBorder="1" applyAlignment="1">
      <alignment horizontal="left" vertical="center" wrapText="1"/>
    </xf>
    <xf numFmtId="6" fontId="62" fillId="15" borderId="21" xfId="0" applyNumberFormat="1" applyFont="1" applyFill="1" applyBorder="1" applyAlignment="1">
      <alignment horizontal="left" vertical="center" wrapText="1"/>
    </xf>
    <xf numFmtId="6" fontId="62" fillId="15" borderId="18" xfId="45" applyNumberFormat="1" applyFont="1" applyFill="1" applyBorder="1" applyAlignment="1">
      <alignment horizontal="left" vertical="center" wrapText="1"/>
    </xf>
    <xf numFmtId="6" fontId="62" fillId="15" borderId="22" xfId="45" applyNumberFormat="1" applyFont="1" applyFill="1" applyBorder="1" applyAlignment="1">
      <alignment horizontal="left" vertical="center" wrapText="1"/>
    </xf>
    <xf numFmtId="6" fontId="62" fillId="15" borderId="19" xfId="45" applyNumberFormat="1" applyFont="1" applyFill="1" applyBorder="1" applyAlignment="1">
      <alignment horizontal="left" vertical="center" wrapText="1"/>
    </xf>
    <xf numFmtId="6" fontId="62" fillId="15" borderId="20" xfId="45" applyNumberFormat="1" applyFont="1" applyFill="1" applyBorder="1" applyAlignment="1">
      <alignment horizontal="left" vertical="center" wrapText="1"/>
    </xf>
    <xf numFmtId="6" fontId="62" fillId="15" borderId="13" xfId="45" applyNumberFormat="1" applyFont="1" applyFill="1" applyBorder="1" applyAlignment="1">
      <alignment horizontal="left" vertical="center" wrapText="1"/>
    </xf>
    <xf numFmtId="6" fontId="62" fillId="15" borderId="21" xfId="45" applyNumberFormat="1" applyFont="1" applyFill="1" applyBorder="1" applyAlignment="1">
      <alignment horizontal="left" vertical="center" wrapText="1"/>
    </xf>
    <xf numFmtId="0" fontId="62" fillId="15" borderId="23" xfId="0" applyFont="1" applyFill="1" applyBorder="1" applyAlignment="1">
      <alignment horizontal="left" vertical="center" wrapText="1"/>
    </xf>
    <xf numFmtId="0" fontId="62" fillId="15" borderId="0" xfId="0" applyFont="1" applyFill="1" applyBorder="1" applyAlignment="1">
      <alignment horizontal="left" vertical="center" wrapText="1"/>
    </xf>
    <xf numFmtId="0" fontId="62" fillId="15" borderId="105" xfId="0" applyFont="1" applyFill="1" applyBorder="1" applyAlignment="1">
      <alignment horizontal="left" vertical="center" wrapText="1"/>
    </xf>
    <xf numFmtId="0" fontId="65" fillId="15" borderId="18" xfId="62" applyFont="1" applyFill="1" applyBorder="1" applyAlignment="1" applyProtection="1">
      <alignment horizontal="center" vertical="center" wrapText="1"/>
      <protection/>
    </xf>
    <xf numFmtId="0" fontId="65" fillId="15" borderId="19" xfId="62" applyFont="1" applyFill="1" applyBorder="1" applyAlignment="1" applyProtection="1">
      <alignment horizontal="center" vertical="center" wrapText="1"/>
      <protection/>
    </xf>
    <xf numFmtId="0" fontId="65" fillId="15" borderId="20" xfId="62" applyFont="1" applyFill="1" applyBorder="1" applyAlignment="1" applyProtection="1">
      <alignment horizontal="center" vertical="center" wrapText="1"/>
      <protection/>
    </xf>
    <xf numFmtId="0" fontId="65" fillId="15" borderId="21" xfId="62" applyFont="1" applyFill="1" applyBorder="1" applyAlignment="1" applyProtection="1">
      <alignment horizontal="center" vertical="center" wrapText="1"/>
      <protection/>
    </xf>
    <xf numFmtId="0" fontId="64" fillId="0" borderId="17" xfId="0" applyFont="1" applyBorder="1" applyAlignment="1">
      <alignment horizontal="left" vertical="center" wrapText="1"/>
    </xf>
    <xf numFmtId="0" fontId="65" fillId="15" borderId="23" xfId="62" applyFont="1" applyFill="1" applyBorder="1" applyAlignment="1" applyProtection="1">
      <alignment horizontal="center" vertical="center" wrapText="1"/>
      <protection/>
    </xf>
    <xf numFmtId="0" fontId="65" fillId="15" borderId="105" xfId="62" applyFont="1" applyFill="1" applyBorder="1" applyAlignment="1" applyProtection="1">
      <alignment horizontal="center" vertical="center" wrapText="1"/>
      <protection/>
    </xf>
    <xf numFmtId="0" fontId="75" fillId="17" borderId="100" xfId="0" applyFont="1" applyFill="1" applyBorder="1" applyAlignment="1">
      <alignment horizontal="center" vertical="center"/>
    </xf>
    <xf numFmtId="0" fontId="75" fillId="17" borderId="114" xfId="0" applyFont="1" applyFill="1" applyBorder="1" applyAlignment="1">
      <alignment horizontal="center" vertical="center"/>
    </xf>
    <xf numFmtId="0" fontId="43" fillId="19" borderId="146" xfId="0" applyFont="1" applyFill="1" applyBorder="1" applyAlignment="1">
      <alignment horizontal="center" vertical="center"/>
    </xf>
    <xf numFmtId="0" fontId="43" fillId="19" borderId="147" xfId="0" applyFont="1" applyFill="1" applyBorder="1" applyAlignment="1">
      <alignment horizontal="center" vertical="center"/>
    </xf>
    <xf numFmtId="0" fontId="65" fillId="15" borderId="23" xfId="65" applyFont="1" applyFill="1" applyBorder="1" applyAlignment="1" applyProtection="1">
      <alignment horizontal="center" vertical="center" wrapText="1"/>
      <protection/>
    </xf>
    <xf numFmtId="0" fontId="65" fillId="15" borderId="0" xfId="65" applyFont="1" applyFill="1" applyBorder="1" applyAlignment="1" applyProtection="1">
      <alignment horizontal="center" vertical="center" wrapText="1"/>
      <protection/>
    </xf>
    <xf numFmtId="0" fontId="65" fillId="15" borderId="13" xfId="65" applyFont="1" applyFill="1" applyBorder="1" applyAlignment="1" applyProtection="1">
      <alignment horizontal="center" vertical="center" wrapText="1"/>
      <protection/>
    </xf>
    <xf numFmtId="0" fontId="55" fillId="19" borderId="100" xfId="0" applyFont="1" applyFill="1" applyBorder="1" applyAlignment="1">
      <alignment horizontal="left" vertical="center" indent="1"/>
    </xf>
    <xf numFmtId="0" fontId="55" fillId="19" borderId="17" xfId="0" applyFont="1" applyFill="1" applyBorder="1" applyAlignment="1">
      <alignment horizontal="left" vertical="center" indent="1"/>
    </xf>
    <xf numFmtId="0" fontId="56" fillId="19" borderId="100" xfId="0" applyFont="1" applyFill="1" applyBorder="1" applyAlignment="1">
      <alignment horizontal="center" vertical="center" wrapText="1"/>
    </xf>
    <xf numFmtId="0" fontId="56" fillId="19" borderId="23" xfId="0" applyFont="1" applyFill="1" applyBorder="1" applyAlignment="1">
      <alignment horizontal="center" vertical="center" wrapText="1"/>
    </xf>
    <xf numFmtId="0" fontId="56" fillId="19" borderId="84" xfId="0" applyFont="1" applyFill="1" applyBorder="1" applyAlignment="1">
      <alignment horizontal="center" vertical="center"/>
    </xf>
    <xf numFmtId="0" fontId="56" fillId="19" borderId="105" xfId="0" applyFont="1" applyFill="1" applyBorder="1" applyAlignment="1">
      <alignment horizontal="center" vertical="center"/>
    </xf>
    <xf numFmtId="0" fontId="56" fillId="19" borderId="17" xfId="0" applyFont="1" applyFill="1" applyBorder="1" applyAlignment="1">
      <alignment horizontal="center" vertical="center" wrapText="1"/>
    </xf>
    <xf numFmtId="0" fontId="57" fillId="19" borderId="85" xfId="0" applyFont="1" applyFill="1" applyBorder="1" applyAlignment="1">
      <alignment horizontal="center" vertical="center" wrapText="1"/>
    </xf>
    <xf numFmtId="0" fontId="57" fillId="19" borderId="23" xfId="0" applyFont="1" applyFill="1" applyBorder="1" applyAlignment="1">
      <alignment horizontal="center" vertical="center" wrapText="1"/>
    </xf>
    <xf numFmtId="0" fontId="43" fillId="19" borderId="25" xfId="71" applyFont="1" applyFill="1" applyBorder="1" applyAlignment="1">
      <alignment horizontal="center" vertical="center" wrapText="1"/>
      <protection/>
    </xf>
    <xf numFmtId="0" fontId="43" fillId="19" borderId="0" xfId="71" applyFont="1" applyFill="1" applyBorder="1" applyAlignment="1">
      <alignment horizontal="center" vertical="center" wrapText="1"/>
      <protection/>
    </xf>
    <xf numFmtId="0" fontId="72" fillId="15" borderId="0" xfId="71" applyFont="1" applyFill="1" applyBorder="1" applyAlignment="1">
      <alignment horizontal="right" vertical="center" wrapText="1"/>
      <protection/>
    </xf>
    <xf numFmtId="0" fontId="62" fillId="15" borderId="23" xfId="0" applyFont="1" applyFill="1" applyBorder="1" applyAlignment="1">
      <alignment horizontal="left" vertical="center" wrapText="1" indent="3"/>
    </xf>
    <xf numFmtId="0" fontId="62" fillId="15" borderId="0" xfId="0" applyFont="1" applyFill="1" applyBorder="1" applyAlignment="1">
      <alignment horizontal="left" vertical="center" wrapText="1" indent="3"/>
    </xf>
    <xf numFmtId="0" fontId="62" fillId="15" borderId="105" xfId="0" applyFont="1" applyFill="1" applyBorder="1" applyAlignment="1">
      <alignment horizontal="left" vertical="center" wrapText="1" indent="3"/>
    </xf>
    <xf numFmtId="0" fontId="62" fillId="15" borderId="20" xfId="0" applyFont="1" applyFill="1" applyBorder="1" applyAlignment="1">
      <alignment horizontal="left" vertical="center" wrapText="1" indent="3"/>
    </xf>
    <xf numFmtId="0" fontId="62" fillId="15" borderId="13" xfId="0" applyFont="1" applyFill="1" applyBorder="1" applyAlignment="1">
      <alignment horizontal="left" vertical="center" wrapText="1" indent="3"/>
    </xf>
    <xf numFmtId="0" fontId="62" fillId="15" borderId="21" xfId="0" applyFont="1" applyFill="1" applyBorder="1" applyAlignment="1">
      <alignment horizontal="left" vertical="center" wrapText="1" indent="3"/>
    </xf>
    <xf numFmtId="0" fontId="58" fillId="0" borderId="20" xfId="0" applyFont="1" applyBorder="1" applyAlignment="1">
      <alignment horizontal="left" vertical="center" wrapText="1"/>
    </xf>
    <xf numFmtId="0" fontId="58" fillId="0" borderId="13" xfId="0" applyFont="1" applyBorder="1" applyAlignment="1">
      <alignment horizontal="left" vertical="center" wrapText="1"/>
    </xf>
    <xf numFmtId="0" fontId="58" fillId="0" borderId="21" xfId="0" applyFont="1" applyBorder="1" applyAlignment="1">
      <alignment horizontal="left" vertical="center" wrapText="1"/>
    </xf>
    <xf numFmtId="0" fontId="16" fillId="15" borderId="0" xfId="0" applyFont="1" applyFill="1" applyBorder="1" applyAlignment="1">
      <alignment horizontal="left" wrapText="1"/>
    </xf>
    <xf numFmtId="0" fontId="66" fillId="15" borderId="18" xfId="71" applyFont="1" applyFill="1" applyBorder="1" applyAlignment="1">
      <alignment horizontal="left" vertical="center" wrapText="1"/>
      <protection/>
    </xf>
    <xf numFmtId="0" fontId="66" fillId="15" borderId="22" xfId="71" applyFont="1" applyFill="1" applyBorder="1" applyAlignment="1">
      <alignment horizontal="left" vertical="center" wrapText="1"/>
      <protection/>
    </xf>
    <xf numFmtId="0" fontId="66" fillId="15" borderId="19" xfId="71" applyFont="1" applyFill="1" applyBorder="1" applyAlignment="1">
      <alignment horizontal="left" vertical="center" wrapText="1"/>
      <protection/>
    </xf>
    <xf numFmtId="0" fontId="77" fillId="15" borderId="86" xfId="71" applyFont="1" applyFill="1" applyBorder="1" applyAlignment="1">
      <alignment horizontal="left" vertical="center" wrapText="1"/>
      <protection/>
    </xf>
    <xf numFmtId="0" fontId="77" fillId="15" borderId="10" xfId="71" applyFont="1" applyFill="1" applyBorder="1" applyAlignment="1">
      <alignment horizontal="left" vertical="center"/>
      <protection/>
    </xf>
    <xf numFmtId="0" fontId="77" fillId="15" borderId="92" xfId="71" applyFont="1" applyFill="1" applyBorder="1" applyAlignment="1">
      <alignment horizontal="left" vertical="center" wrapText="1"/>
      <protection/>
    </xf>
    <xf numFmtId="0" fontId="77" fillId="15" borderId="19" xfId="71" applyFont="1" applyFill="1" applyBorder="1" applyAlignment="1">
      <alignment horizontal="left" vertical="center"/>
      <protection/>
    </xf>
    <xf numFmtId="0" fontId="75" fillId="15" borderId="86" xfId="71" applyFont="1" applyFill="1" applyBorder="1" applyAlignment="1">
      <alignment horizontal="left" vertical="center" wrapText="1"/>
      <protection/>
    </xf>
    <xf numFmtId="0" fontId="75" fillId="15" borderId="10" xfId="71" applyFont="1" applyFill="1" applyBorder="1" applyAlignment="1">
      <alignment horizontal="left" vertical="center" wrapText="1"/>
      <protection/>
    </xf>
    <xf numFmtId="0" fontId="75" fillId="15" borderId="89" xfId="71" applyFont="1" applyFill="1" applyBorder="1" applyAlignment="1">
      <alignment horizontal="left" vertical="center" wrapText="1"/>
      <protection/>
    </xf>
    <xf numFmtId="0" fontId="75" fillId="15" borderId="59" xfId="71" applyFont="1" applyFill="1" applyBorder="1" applyAlignment="1">
      <alignment horizontal="left" vertical="center" wrapText="1"/>
      <protection/>
    </xf>
    <xf numFmtId="0" fontId="75" fillId="15" borderId="10" xfId="71" applyFont="1" applyFill="1" applyBorder="1" applyAlignment="1">
      <alignment horizontal="left" vertical="center"/>
      <protection/>
    </xf>
    <xf numFmtId="0" fontId="61" fillId="19" borderId="23" xfId="0" applyFont="1" applyFill="1" applyBorder="1" applyAlignment="1">
      <alignment horizontal="left" vertical="center" wrapText="1" indent="1"/>
    </xf>
    <xf numFmtId="0" fontId="61" fillId="19" borderId="0" xfId="0" applyFont="1" applyFill="1" applyBorder="1" applyAlignment="1">
      <alignment horizontal="left" vertical="center" wrapText="1" indent="1"/>
    </xf>
    <xf numFmtId="0" fontId="75" fillId="15" borderId="86" xfId="71" applyFont="1" applyFill="1" applyBorder="1" applyAlignment="1">
      <alignment horizontal="left" vertical="center"/>
      <protection/>
    </xf>
    <xf numFmtId="0" fontId="69" fillId="19" borderId="24" xfId="0" applyFont="1" applyFill="1" applyBorder="1" applyAlignment="1">
      <alignment horizontal="center" vertical="center" wrapText="1"/>
    </xf>
    <xf numFmtId="0" fontId="43" fillId="19" borderId="148" xfId="0" applyFont="1" applyFill="1" applyBorder="1" applyAlignment="1">
      <alignment horizontal="center" vertical="center" wrapText="1"/>
    </xf>
    <xf numFmtId="0" fontId="75" fillId="15" borderId="149" xfId="71" applyFont="1" applyFill="1" applyBorder="1" applyAlignment="1">
      <alignment horizontal="left" vertical="center" wrapText="1"/>
      <protection/>
    </xf>
    <xf numFmtId="0" fontId="75" fillId="15" borderId="14" xfId="71" applyFont="1" applyFill="1" applyBorder="1" applyAlignment="1">
      <alignment horizontal="left" vertical="center" wrapText="1"/>
      <protection/>
    </xf>
    <xf numFmtId="0" fontId="16" fillId="15" borderId="0" xfId="71" applyFont="1" applyFill="1" applyBorder="1" applyAlignment="1">
      <alignment horizontal="left" wrapText="1"/>
      <protection/>
    </xf>
    <xf numFmtId="0" fontId="16" fillId="15" borderId="0" xfId="0" applyFont="1" applyFill="1" applyBorder="1" applyAlignment="1">
      <alignment horizontal="left" vertical="center" wrapText="1"/>
    </xf>
    <xf numFmtId="0" fontId="2" fillId="0" borderId="0" xfId="0" applyFont="1" applyFill="1" applyBorder="1" applyAlignment="1" applyProtection="1">
      <alignment horizontal="center" vertical="center"/>
      <protection locked="0"/>
    </xf>
    <xf numFmtId="194" fontId="36" fillId="15" borderId="22" xfId="71" applyNumberFormat="1" applyFont="1" applyFill="1" applyBorder="1" applyAlignment="1" applyProtection="1">
      <alignment horizontal="center" vertical="center"/>
      <protection locked="0"/>
    </xf>
    <xf numFmtId="0" fontId="36" fillId="15" borderId="22" xfId="71" applyFont="1" applyFill="1" applyBorder="1" applyAlignment="1">
      <alignment horizontal="right" vertical="center"/>
      <protection/>
    </xf>
    <xf numFmtId="0" fontId="0" fillId="0" borderId="0" xfId="0" applyFont="1" applyFill="1" applyBorder="1" applyAlignment="1" applyProtection="1">
      <alignment horizontal="left" vertical="top" wrapText="1"/>
      <protection hidden="1"/>
    </xf>
    <xf numFmtId="0" fontId="43" fillId="18" borderId="23" xfId="71" applyFont="1" applyFill="1" applyBorder="1" applyAlignment="1" applyProtection="1">
      <alignment horizontal="left" vertical="center"/>
      <protection locked="0"/>
    </xf>
    <xf numFmtId="0" fontId="43" fillId="18" borderId="0" xfId="71" applyFont="1" applyFill="1" applyBorder="1" applyAlignment="1" applyProtection="1">
      <alignment horizontal="left" vertical="center"/>
      <protection locked="0"/>
    </xf>
    <xf numFmtId="0" fontId="0" fillId="0" borderId="0" xfId="73" applyFont="1" applyBorder="1" applyAlignment="1" applyProtection="1">
      <alignment horizontal="left" vertical="center" wrapText="1"/>
      <protection locked="0"/>
    </xf>
    <xf numFmtId="0" fontId="0" fillId="17" borderId="11" xfId="73" applyFont="1" applyFill="1" applyBorder="1" applyAlignment="1" applyProtection="1">
      <alignment horizontal="left" vertical="top" wrapText="1"/>
      <protection locked="0"/>
    </xf>
    <xf numFmtId="0" fontId="0" fillId="17" borderId="12" xfId="73" applyFont="1" applyFill="1" applyBorder="1" applyAlignment="1" applyProtection="1">
      <alignment horizontal="left" vertical="top" wrapText="1"/>
      <protection locked="0"/>
    </xf>
    <xf numFmtId="0" fontId="0" fillId="17" borderId="14" xfId="73" applyFont="1" applyFill="1" applyBorder="1" applyAlignment="1" applyProtection="1">
      <alignment horizontal="left" vertical="top" wrapText="1"/>
      <protection locked="0"/>
    </xf>
    <xf numFmtId="0" fontId="0" fillId="0" borderId="22" xfId="73" applyFont="1" applyFill="1" applyBorder="1" applyAlignment="1" applyProtection="1">
      <alignment horizontal="left" vertical="center" wrapText="1"/>
      <protection hidden="1"/>
    </xf>
    <xf numFmtId="0" fontId="29" fillId="0" borderId="10" xfId="73" applyFont="1" applyFill="1" applyBorder="1" applyAlignment="1" applyProtection="1">
      <alignment horizontal="center" vertical="center" wrapText="1"/>
      <protection locked="0"/>
    </xf>
    <xf numFmtId="0" fontId="29" fillId="0" borderId="11" xfId="73" applyFont="1" applyFill="1" applyBorder="1" applyAlignment="1" applyProtection="1">
      <alignment horizontal="center" vertical="center" wrapText="1"/>
      <protection locked="0"/>
    </xf>
    <xf numFmtId="0" fontId="29" fillId="17" borderId="11" xfId="73" applyFont="1" applyFill="1" applyBorder="1" applyAlignment="1" applyProtection="1">
      <alignment horizontal="center" vertical="center"/>
      <protection locked="0"/>
    </xf>
    <xf numFmtId="0" fontId="29" fillId="17" borderId="12" xfId="73" applyFont="1" applyFill="1" applyBorder="1" applyAlignment="1" applyProtection="1">
      <alignment horizontal="center" vertical="center"/>
      <protection locked="0"/>
    </xf>
    <xf numFmtId="0" fontId="29" fillId="17" borderId="14" xfId="73" applyFont="1" applyFill="1" applyBorder="1" applyAlignment="1" applyProtection="1">
      <alignment horizontal="center" vertical="center"/>
      <protection locked="0"/>
    </xf>
    <xf numFmtId="0" fontId="0" fillId="0" borderId="0" xfId="73" applyFont="1" applyFill="1" applyBorder="1" applyAlignment="1" applyProtection="1">
      <alignment horizontal="left" vertical="center" wrapText="1"/>
      <protection/>
    </xf>
    <xf numFmtId="173" fontId="29" fillId="17" borderId="23" xfId="73" applyNumberFormat="1" applyFont="1" applyFill="1" applyBorder="1" applyAlignment="1" applyProtection="1">
      <alignment horizontal="center" vertical="center"/>
      <protection locked="0"/>
    </xf>
    <xf numFmtId="173" fontId="29" fillId="17" borderId="105" xfId="73" applyNumberFormat="1" applyFont="1" applyFill="1" applyBorder="1" applyAlignment="1" applyProtection="1">
      <alignment horizontal="center" vertical="center"/>
      <protection locked="0"/>
    </xf>
    <xf numFmtId="173" fontId="29" fillId="17" borderId="11" xfId="73" applyNumberFormat="1" applyFont="1" applyFill="1" applyBorder="1" applyAlignment="1" applyProtection="1">
      <alignment horizontal="center" vertical="center"/>
      <protection locked="0"/>
    </xf>
    <xf numFmtId="173" fontId="29" fillId="17" borderId="14" xfId="73" applyNumberFormat="1" applyFont="1" applyFill="1" applyBorder="1" applyAlignment="1" applyProtection="1">
      <alignment horizontal="center" vertical="center"/>
      <protection locked="0"/>
    </xf>
    <xf numFmtId="0" fontId="29" fillId="0" borderId="14" xfId="73" applyFont="1" applyFill="1" applyBorder="1" applyAlignment="1" applyProtection="1">
      <alignment horizontal="center" vertical="center" wrapText="1"/>
      <protection locked="0"/>
    </xf>
    <xf numFmtId="173" fontId="29" fillId="17" borderId="20" xfId="73" applyNumberFormat="1" applyFont="1" applyFill="1" applyBorder="1" applyAlignment="1" applyProtection="1">
      <alignment horizontal="center" vertical="center"/>
      <protection locked="0"/>
    </xf>
    <xf numFmtId="173" fontId="29" fillId="17" borderId="21" xfId="73" applyNumberFormat="1" applyFont="1" applyFill="1" applyBorder="1" applyAlignment="1" applyProtection="1">
      <alignment horizontal="center" vertical="center"/>
      <protection locked="0"/>
    </xf>
    <xf numFmtId="0" fontId="29" fillId="0" borderId="150" xfId="0" applyFont="1" applyFill="1" applyBorder="1" applyAlignment="1" applyProtection="1">
      <alignment horizontal="left" vertical="center" indent="1"/>
      <protection/>
    </xf>
    <xf numFmtId="0" fontId="29" fillId="0" borderId="50" xfId="0" applyFont="1" applyFill="1" applyBorder="1" applyAlignment="1" applyProtection="1">
      <alignment horizontal="left" vertical="center" indent="1"/>
      <protection/>
    </xf>
    <xf numFmtId="0" fontId="27" fillId="0" borderId="50" xfId="0" applyFont="1" applyBorder="1" applyAlignment="1">
      <alignment horizontal="left" vertical="center" indent="1"/>
    </xf>
    <xf numFmtId="0" fontId="0" fillId="0" borderId="151" xfId="0" applyBorder="1" applyAlignment="1">
      <alignment horizontal="left" indent="1"/>
    </xf>
    <xf numFmtId="0" fontId="29" fillId="0" borderId="152" xfId="0" applyFont="1" applyFill="1" applyBorder="1" applyAlignment="1" applyProtection="1">
      <alignment horizontal="left" vertical="center" indent="1"/>
      <protection/>
    </xf>
    <xf numFmtId="0" fontId="29" fillId="0" borderId="153" xfId="0" applyFont="1" applyFill="1" applyBorder="1" applyAlignment="1" applyProtection="1">
      <alignment horizontal="left" vertical="center" indent="1"/>
      <protection/>
    </xf>
    <xf numFmtId="0" fontId="27" fillId="0" borderId="153" xfId="0" applyFont="1" applyBorder="1" applyAlignment="1">
      <alignment horizontal="left" vertical="center" indent="1"/>
    </xf>
    <xf numFmtId="0" fontId="0" fillId="0" borderId="154" xfId="0" applyBorder="1" applyAlignment="1">
      <alignment horizontal="left" indent="1"/>
    </xf>
    <xf numFmtId="0" fontId="21" fillId="5" borderId="40" xfId="0" applyFont="1" applyFill="1" applyBorder="1" applyAlignment="1" applyProtection="1">
      <alignment horizontal="left" vertical="center"/>
      <protection/>
    </xf>
    <xf numFmtId="0" fontId="21" fillId="5" borderId="41" xfId="0" applyFont="1" applyFill="1" applyBorder="1" applyAlignment="1" applyProtection="1">
      <alignment horizontal="left" vertical="center"/>
      <protection/>
    </xf>
    <xf numFmtId="0" fontId="27" fillId="5" borderId="41" xfId="0" applyFont="1" applyFill="1" applyBorder="1" applyAlignment="1">
      <alignment vertical="center"/>
    </xf>
    <xf numFmtId="0" fontId="2" fillId="0" borderId="0" xfId="0" applyFont="1" applyAlignment="1">
      <alignment horizontal="left" vertical="top" wrapText="1"/>
    </xf>
    <xf numFmtId="0" fontId="0" fillId="0" borderId="0" xfId="0" applyFont="1" applyAlignment="1">
      <alignment wrapText="1"/>
    </xf>
    <xf numFmtId="0" fontId="29" fillId="0" borderId="155" xfId="0" applyFont="1" applyFill="1" applyBorder="1" applyAlignment="1" applyProtection="1">
      <alignment horizontal="center" wrapText="1"/>
      <protection/>
    </xf>
    <xf numFmtId="0" fontId="0" fillId="0" borderId="16" xfId="0" applyFill="1" applyBorder="1" applyAlignment="1">
      <alignment horizontal="center" wrapText="1"/>
    </xf>
    <xf numFmtId="0" fontId="29" fillId="0" borderId="156" xfId="0" applyFont="1" applyFill="1" applyBorder="1" applyAlignment="1" applyProtection="1">
      <alignment horizontal="center" wrapText="1"/>
      <protection/>
    </xf>
    <xf numFmtId="0" fontId="0" fillId="0" borderId="157" xfId="0" applyFill="1" applyBorder="1" applyAlignment="1">
      <alignment horizontal="center" wrapText="1"/>
    </xf>
    <xf numFmtId="0" fontId="29" fillId="2" borderId="158" xfId="0" applyFont="1" applyFill="1" applyBorder="1" applyAlignment="1" applyProtection="1">
      <alignment horizontal="center" vertical="center"/>
      <protection locked="0"/>
    </xf>
    <xf numFmtId="0" fontId="0" fillId="2" borderId="14" xfId="0" applyFill="1" applyBorder="1" applyAlignment="1">
      <alignment horizontal="center" vertical="center"/>
    </xf>
    <xf numFmtId="0" fontId="0" fillId="0" borderId="0" xfId="0" applyFont="1" applyFill="1" applyBorder="1" applyAlignment="1" applyProtection="1">
      <alignment horizontal="left" vertical="center" wrapText="1"/>
      <protection hidden="1"/>
    </xf>
    <xf numFmtId="0" fontId="29" fillId="0" borderId="159" xfId="0" applyFont="1" applyFill="1" applyBorder="1" applyAlignment="1" applyProtection="1">
      <alignment horizontal="left" vertical="center"/>
      <protection/>
    </xf>
    <xf numFmtId="0" fontId="29" fillId="0" borderId="138" xfId="0" applyFont="1" applyFill="1" applyBorder="1" applyAlignment="1" applyProtection="1">
      <alignment horizontal="left" vertical="center"/>
      <protection/>
    </xf>
    <xf numFmtId="0" fontId="27" fillId="0" borderId="138" xfId="0" applyFont="1" applyBorder="1" applyAlignment="1">
      <alignment vertical="center"/>
    </xf>
    <xf numFmtId="0" fontId="0" fillId="0" borderId="160" xfId="0" applyBorder="1" applyAlignment="1">
      <alignment/>
    </xf>
    <xf numFmtId="0" fontId="5" fillId="0" borderId="0" xfId="0" applyFont="1" applyFill="1" applyBorder="1" applyAlignment="1" applyProtection="1">
      <alignment horizontal="left" vertical="center" wrapText="1"/>
      <protection hidden="1"/>
    </xf>
    <xf numFmtId="0" fontId="29" fillId="0" borderId="35" xfId="0" applyFont="1" applyFill="1" applyBorder="1" applyAlignment="1" applyProtection="1">
      <alignment horizontal="center" vertical="center" wrapText="1"/>
      <protection/>
    </xf>
    <xf numFmtId="0" fontId="0" fillId="0" borderId="161" xfId="0" applyFill="1" applyBorder="1" applyAlignment="1">
      <alignment horizontal="center" vertical="center" wrapText="1"/>
    </xf>
    <xf numFmtId="0" fontId="29" fillId="0" borderId="49" xfId="0" applyFont="1" applyFill="1" applyBorder="1" applyAlignment="1" applyProtection="1">
      <alignment horizontal="center" vertical="center" wrapText="1"/>
      <protection/>
    </xf>
    <xf numFmtId="0" fontId="0" fillId="0" borderId="21" xfId="0" applyFill="1" applyBorder="1" applyAlignment="1">
      <alignment horizontal="center" vertical="center" wrapText="1"/>
    </xf>
    <xf numFmtId="0" fontId="29" fillId="0" borderId="162" xfId="0" applyFont="1" applyFill="1" applyBorder="1" applyAlignment="1" applyProtection="1">
      <alignment horizontal="center" vertical="center" wrapText="1"/>
      <protection/>
    </xf>
    <xf numFmtId="0" fontId="29" fillId="0" borderId="36" xfId="0" applyFont="1" applyFill="1" applyBorder="1" applyAlignment="1" applyProtection="1">
      <alignment horizontal="center" vertical="center" wrapText="1"/>
      <protection/>
    </xf>
    <xf numFmtId="0" fontId="0" fillId="0" borderId="161" xfId="0" applyFill="1" applyBorder="1" applyAlignment="1">
      <alignment vertical="center" wrapText="1"/>
    </xf>
    <xf numFmtId="0" fontId="29" fillId="0" borderId="20" xfId="0"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center" wrapText="1"/>
      <protection/>
    </xf>
    <xf numFmtId="0" fontId="0" fillId="0" borderId="21" xfId="0" applyFill="1" applyBorder="1" applyAlignment="1">
      <alignment vertical="center" wrapText="1"/>
    </xf>
    <xf numFmtId="0" fontId="21" fillId="0" borderId="163" xfId="0" applyFont="1" applyFill="1" applyBorder="1" applyAlignment="1" applyProtection="1">
      <alignment horizontal="center" vertical="center" wrapText="1"/>
      <protection/>
    </xf>
    <xf numFmtId="0" fontId="21" fillId="0" borderId="164" xfId="0" applyFont="1" applyFill="1" applyBorder="1" applyAlignment="1" applyProtection="1">
      <alignment horizontal="center" vertical="center" wrapText="1"/>
      <protection/>
    </xf>
    <xf numFmtId="0" fontId="29" fillId="2" borderId="11" xfId="0" applyFont="1"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0" fillId="2" borderId="14" xfId="0" applyFill="1" applyBorder="1" applyAlignment="1">
      <alignment/>
    </xf>
    <xf numFmtId="3" fontId="21" fillId="0" borderId="165" xfId="42" applyNumberFormat="1" applyFont="1" applyFill="1" applyBorder="1" applyAlignment="1" applyProtection="1">
      <alignment horizontal="left" vertical="center"/>
      <protection/>
    </xf>
    <xf numFmtId="0" fontId="0" fillId="0" borderId="33" xfId="0" applyBorder="1" applyAlignment="1">
      <alignment/>
    </xf>
    <xf numFmtId="0" fontId="0" fillId="0" borderId="166" xfId="0" applyBorder="1" applyAlignment="1">
      <alignment/>
    </xf>
    <xf numFmtId="0" fontId="21" fillId="2" borderId="40" xfId="0" applyFont="1" applyFill="1" applyBorder="1" applyAlignment="1" applyProtection="1">
      <alignment horizontal="left" vertical="center"/>
      <protection/>
    </xf>
    <xf numFmtId="0" fontId="21" fillId="2" borderId="41" xfId="0" applyFont="1" applyFill="1" applyBorder="1" applyAlignment="1" applyProtection="1">
      <alignment horizontal="left" vertical="center"/>
      <protection/>
    </xf>
    <xf numFmtId="0" fontId="31" fillId="2" borderId="167" xfId="0" applyFont="1" applyFill="1" applyBorder="1" applyAlignment="1">
      <alignment/>
    </xf>
    <xf numFmtId="3" fontId="29" fillId="0" borderId="168" xfId="42" applyNumberFormat="1" applyFont="1" applyFill="1" applyBorder="1" applyAlignment="1" applyProtection="1">
      <alignment horizontal="left" vertical="center"/>
      <protection/>
    </xf>
    <xf numFmtId="0" fontId="0" fillId="0" borderId="169" xfId="0" applyBorder="1" applyAlignment="1">
      <alignment/>
    </xf>
    <xf numFmtId="0" fontId="0" fillId="0" borderId="170" xfId="0" applyBorder="1" applyAlignment="1">
      <alignment/>
    </xf>
    <xf numFmtId="3" fontId="29" fillId="0" borderId="150" xfId="42" applyNumberFormat="1" applyFont="1" applyFill="1" applyBorder="1" applyAlignment="1" applyProtection="1">
      <alignment horizontal="left" vertical="center"/>
      <protection/>
    </xf>
    <xf numFmtId="0" fontId="0" fillId="0" borderId="50" xfId="0" applyBorder="1" applyAlignment="1">
      <alignment/>
    </xf>
    <xf numFmtId="0" fontId="0" fillId="0" borderId="151" xfId="0" applyBorder="1" applyAlignment="1">
      <alignment/>
    </xf>
    <xf numFmtId="0" fontId="29" fillId="15" borderId="11" xfId="73" applyFont="1" applyFill="1" applyBorder="1" applyAlignment="1" applyProtection="1">
      <alignment horizontal="center" vertical="center"/>
      <protection locked="0"/>
    </xf>
    <xf numFmtId="0" fontId="29" fillId="15" borderId="14" xfId="73" applyFont="1" applyFill="1" applyBorder="1" applyAlignment="1" applyProtection="1">
      <alignment horizontal="center" vertical="center"/>
      <protection locked="0"/>
    </xf>
    <xf numFmtId="0" fontId="0" fillId="0" borderId="0" xfId="73" applyFont="1" applyBorder="1" applyAlignment="1">
      <alignment horizontal="left" vertical="top" wrapText="1"/>
      <protection/>
    </xf>
    <xf numFmtId="0" fontId="2" fillId="0" borderId="0" xfId="0" applyFont="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top" wrapText="1"/>
      <protection/>
    </xf>
    <xf numFmtId="0" fontId="0" fillId="0" borderId="0" xfId="0" applyFont="1" applyBorder="1" applyAlignment="1">
      <alignment horizontal="left" vertical="top" wrapText="1"/>
    </xf>
    <xf numFmtId="0" fontId="9" fillId="0" borderId="0" xfId="62" applyBorder="1" applyAlignment="1" applyProtection="1">
      <alignment horizontal="right" vertical="top"/>
      <protection/>
    </xf>
    <xf numFmtId="0" fontId="0" fillId="0" borderId="0" xfId="0" applyAlignment="1">
      <alignment/>
    </xf>
    <xf numFmtId="0" fontId="0" fillId="0" borderId="10" xfId="0" applyFill="1" applyBorder="1" applyAlignment="1">
      <alignment horizontal="left"/>
    </xf>
    <xf numFmtId="0" fontId="0" fillId="0" borderId="10" xfId="0" applyBorder="1" applyAlignment="1">
      <alignment/>
    </xf>
    <xf numFmtId="0" fontId="0" fillId="0" borderId="10" xfId="0" applyFont="1" applyFill="1" applyBorder="1" applyAlignment="1">
      <alignment horizontal="left"/>
    </xf>
    <xf numFmtId="0" fontId="2" fillId="23" borderId="18" xfId="71" applyFont="1" applyFill="1" applyBorder="1" applyAlignment="1">
      <alignment horizontal="left" vertical="top" wrapText="1"/>
      <protection/>
    </xf>
    <xf numFmtId="0" fontId="2" fillId="23" borderId="22" xfId="71" applyFont="1" applyFill="1" applyBorder="1" applyAlignment="1">
      <alignment horizontal="left" vertical="top" wrapText="1"/>
      <protection/>
    </xf>
    <xf numFmtId="0" fontId="2" fillId="23" borderId="19" xfId="71" applyFont="1" applyFill="1" applyBorder="1" applyAlignment="1">
      <alignment horizontal="left" vertical="top" wrapText="1"/>
      <protection/>
    </xf>
    <xf numFmtId="0" fontId="2" fillId="23" borderId="23" xfId="71" applyFont="1" applyFill="1" applyBorder="1" applyAlignment="1">
      <alignment horizontal="left" vertical="top" wrapText="1"/>
      <protection/>
    </xf>
    <xf numFmtId="0" fontId="2" fillId="23" borderId="0" xfId="71" applyFont="1" applyFill="1" applyBorder="1" applyAlignment="1">
      <alignment horizontal="left" vertical="top" wrapText="1"/>
      <protection/>
    </xf>
    <xf numFmtId="0" fontId="2" fillId="23" borderId="105" xfId="71" applyFont="1" applyFill="1" applyBorder="1" applyAlignment="1">
      <alignment horizontal="left" vertical="top" wrapText="1"/>
      <protection/>
    </xf>
    <xf numFmtId="0" fontId="2" fillId="2" borderId="11" xfId="0" applyFont="1" applyFill="1" applyBorder="1" applyAlignment="1">
      <alignment horizontal="center" vertical="center"/>
    </xf>
    <xf numFmtId="0" fontId="0" fillId="0" borderId="14" xfId="0" applyBorder="1" applyAlignment="1">
      <alignment vertical="center"/>
    </xf>
    <xf numFmtId="0" fontId="0" fillId="15" borderId="10" xfId="0" applyFont="1" applyFill="1" applyBorder="1" applyAlignment="1">
      <alignment/>
    </xf>
    <xf numFmtId="0" fontId="0" fillId="15" borderId="10" xfId="0" applyFill="1" applyBorder="1" applyAlignment="1">
      <alignment/>
    </xf>
    <xf numFmtId="0" fontId="2" fillId="0" borderId="10" xfId="0" applyFont="1" applyFill="1" applyBorder="1" applyAlignment="1">
      <alignment horizontal="left"/>
    </xf>
    <xf numFmtId="0" fontId="0" fillId="0" borderId="10" xfId="0" applyBorder="1" applyAlignment="1">
      <alignment horizontal="left"/>
    </xf>
    <xf numFmtId="0" fontId="108" fillId="0" borderId="0" xfId="0" applyFont="1" applyBorder="1" applyAlignment="1">
      <alignment horizontal="center"/>
    </xf>
    <xf numFmtId="0" fontId="0" fillId="23" borderId="23" xfId="71" applyFont="1" applyFill="1" applyBorder="1" applyAlignment="1">
      <alignment horizontal="left" vertical="center" wrapText="1"/>
      <protection/>
    </xf>
    <xf numFmtId="0" fontId="0" fillId="23" borderId="0" xfId="71" applyFont="1" applyFill="1" applyBorder="1" applyAlignment="1">
      <alignment horizontal="left" vertical="center" wrapText="1"/>
      <protection/>
    </xf>
    <xf numFmtId="0" fontId="0" fillId="23" borderId="105" xfId="71" applyFont="1" applyFill="1" applyBorder="1" applyAlignment="1">
      <alignment horizontal="left" vertical="center" wrapText="1"/>
      <protection/>
    </xf>
    <xf numFmtId="0" fontId="0" fillId="23" borderId="20" xfId="71" applyFont="1" applyFill="1" applyBorder="1" applyAlignment="1">
      <alignment horizontal="left" vertical="center" wrapText="1"/>
      <protection/>
    </xf>
    <xf numFmtId="0" fontId="0" fillId="23" borderId="13" xfId="71" applyFont="1" applyFill="1" applyBorder="1" applyAlignment="1">
      <alignment horizontal="left" vertical="center" wrapText="1"/>
      <protection/>
    </xf>
    <xf numFmtId="0" fontId="0" fillId="23" borderId="21" xfId="71" applyFont="1" applyFill="1" applyBorder="1" applyAlignment="1">
      <alignment horizontal="left" vertical="center" wrapText="1"/>
      <protection/>
    </xf>
    <xf numFmtId="0" fontId="0" fillId="15" borderId="10" xfId="0" applyFont="1" applyFill="1" applyBorder="1" applyAlignment="1">
      <alignment horizontal="lef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3" xfId="50"/>
    <cellStyle name="Currency 4" xfId="51"/>
    <cellStyle name="Date/Time" xfId="52"/>
    <cellStyle name="Decimal" xfId="53"/>
    <cellStyle name="Explanatory Text" xfId="54"/>
    <cellStyle name="Followed Hyperlink" xfId="55"/>
    <cellStyle name="Good" xfId="56"/>
    <cellStyle name="Heading" xfId="57"/>
    <cellStyle name="Heading 1" xfId="58"/>
    <cellStyle name="Heading 2" xfId="59"/>
    <cellStyle name="Heading 3" xfId="60"/>
    <cellStyle name="Heading 4" xfId="61"/>
    <cellStyle name="Hyperlink" xfId="62"/>
    <cellStyle name="Hyperlink 2" xfId="63"/>
    <cellStyle name="Hyperlink 3" xfId="64"/>
    <cellStyle name="Hyperlink 4" xfId="65"/>
    <cellStyle name="Input" xfId="66"/>
    <cellStyle name="Integer" xfId="67"/>
    <cellStyle name="Linked Cell" xfId="68"/>
    <cellStyle name="Neutral" xfId="69"/>
    <cellStyle name="no dec" xfId="70"/>
    <cellStyle name="Normal 2" xfId="71"/>
    <cellStyle name="Normal 2 2" xfId="72"/>
    <cellStyle name="Normal 3" xfId="73"/>
    <cellStyle name="Normal 4" xfId="74"/>
    <cellStyle name="Note" xfId="75"/>
    <cellStyle name="Output" xfId="76"/>
    <cellStyle name="Percent" xfId="77"/>
    <cellStyle name="Percent 2" xfId="78"/>
    <cellStyle name="Title" xfId="79"/>
    <cellStyle name="Total" xfId="80"/>
    <cellStyle name="Warning Text" xfId="8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38100</xdr:rowOff>
    </xdr:from>
    <xdr:to>
      <xdr:col>9</xdr:col>
      <xdr:colOff>1162050</xdr:colOff>
      <xdr:row>3</xdr:row>
      <xdr:rowOff>104775</xdr:rowOff>
    </xdr:to>
    <xdr:pic>
      <xdr:nvPicPr>
        <xdr:cNvPr id="1" name="Picture 1" descr="Good PRPAb&amp;w logo"/>
        <xdr:cNvPicPr preferRelativeResize="1">
          <a:picLocks noChangeAspect="1"/>
        </xdr:cNvPicPr>
      </xdr:nvPicPr>
      <xdr:blipFill>
        <a:blip r:embed="rId1"/>
        <a:stretch>
          <a:fillRect/>
        </a:stretch>
      </xdr:blipFill>
      <xdr:spPr>
        <a:xfrm>
          <a:off x="6591300" y="38100"/>
          <a:ext cx="1914525" cy="809625"/>
        </a:xfrm>
        <a:prstGeom prst="rect">
          <a:avLst/>
        </a:prstGeom>
        <a:noFill/>
        <a:ln w="9525" cmpd="sng">
          <a:noFill/>
        </a:ln>
      </xdr:spPr>
    </xdr:pic>
    <xdr:clientData/>
  </xdr:twoCellAnchor>
  <xdr:twoCellAnchor>
    <xdr:from>
      <xdr:col>0</xdr:col>
      <xdr:colOff>371475</xdr:colOff>
      <xdr:row>27</xdr:row>
      <xdr:rowOff>152400</xdr:rowOff>
    </xdr:from>
    <xdr:to>
      <xdr:col>5</xdr:col>
      <xdr:colOff>304800</xdr:colOff>
      <xdr:row>28</xdr:row>
      <xdr:rowOff>123825</xdr:rowOff>
    </xdr:to>
    <xdr:sp>
      <xdr:nvSpPr>
        <xdr:cNvPr id="2" name="Text Box 16"/>
        <xdr:cNvSpPr txBox="1">
          <a:spLocks noChangeArrowheads="1"/>
        </xdr:cNvSpPr>
      </xdr:nvSpPr>
      <xdr:spPr>
        <a:xfrm>
          <a:off x="371475" y="8277225"/>
          <a:ext cx="4162425" cy="2667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52</xdr:row>
      <xdr:rowOff>28575</xdr:rowOff>
    </xdr:from>
    <xdr:to>
      <xdr:col>10</xdr:col>
      <xdr:colOff>647700</xdr:colOff>
      <xdr:row>58</xdr:row>
      <xdr:rowOff>142875</xdr:rowOff>
    </xdr:to>
    <xdr:sp>
      <xdr:nvSpPr>
        <xdr:cNvPr id="1" name="Text Box 14"/>
        <xdr:cNvSpPr txBox="1">
          <a:spLocks noChangeArrowheads="1"/>
        </xdr:cNvSpPr>
      </xdr:nvSpPr>
      <xdr:spPr>
        <a:xfrm>
          <a:off x="5162550" y="9515475"/>
          <a:ext cx="2914650" cy="1057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Note:  These specifications were developed by the Consortium for Energy Efficiency (CEE) for use in voluntary energy-efficiency programs and are used with their permission.  CEE's high-efficiency specifications are periodically revised. For the most current version, please see the CEE Web site (http://www.cee1.org/com/com-lt/com-lt-specs.pdf). 
</a:t>
          </a:r>
          <a:r>
            <a:rPr lang="en-US" cap="none" sz="1000" b="0" i="0" u="none" baseline="0">
              <a:solidFill>
                <a:srgbClr val="000000"/>
              </a:solidFill>
              <a:latin typeface="Arial"/>
              <a:ea typeface="Arial"/>
              <a:cs typeface="Arial"/>
            </a:rPr>
            <a:t>
</a:t>
          </a:r>
        </a:p>
      </xdr:txBody>
    </xdr:sp>
    <xdr:clientData/>
  </xdr:twoCellAnchor>
  <xdr:twoCellAnchor>
    <xdr:from>
      <xdr:col>3</xdr:col>
      <xdr:colOff>238125</xdr:colOff>
      <xdr:row>2</xdr:row>
      <xdr:rowOff>152400</xdr:rowOff>
    </xdr:from>
    <xdr:to>
      <xdr:col>10</xdr:col>
      <xdr:colOff>771525</xdr:colOff>
      <xdr:row>3</xdr:row>
      <xdr:rowOff>66675</xdr:rowOff>
    </xdr:to>
    <xdr:sp>
      <xdr:nvSpPr>
        <xdr:cNvPr id="2" name="TextBox 2"/>
        <xdr:cNvSpPr txBox="1">
          <a:spLocks noChangeArrowheads="1"/>
        </xdr:cNvSpPr>
      </xdr:nvSpPr>
      <xdr:spPr>
        <a:xfrm>
          <a:off x="2895600" y="638175"/>
          <a:ext cx="5305425" cy="171450"/>
        </a:xfrm>
        <a:prstGeom prst="rect">
          <a:avLst/>
        </a:prstGeom>
        <a:solidFill>
          <a:srgbClr val="FFFF00"/>
        </a:solidFill>
        <a:ln w="9525" cmpd="sng">
          <a:solidFill>
            <a:srgbClr val="7F7F7F"/>
          </a:solidFill>
          <a:headEnd type="none"/>
          <a:tailEnd type="none"/>
        </a:ln>
      </xdr:spPr>
      <xdr:txBody>
        <a:bodyPr vertOverflow="clip" wrap="square" lIns="91440" tIns="45720" rIns="91440" bIns="45720" anchor="ctr"/>
        <a:p>
          <a:pPr algn="ctr">
            <a:defRPr/>
          </a:pPr>
          <a:r>
            <a:rPr lang="en-US" cap="none" sz="1000" b="1" i="0" u="none" baseline="0">
              <a:solidFill>
                <a:srgbClr val="000000"/>
              </a:solidFill>
              <a:latin typeface="Calibri"/>
              <a:ea typeface="Calibri"/>
              <a:cs typeface="Calibri"/>
            </a:rPr>
            <a:t>HIGH EFFICIENCY ELECTRONIC BALLASTS</a:t>
          </a:r>
          <a:r>
            <a:rPr lang="en-US" cap="none" sz="1000" b="1" i="0" u="none" baseline="0">
              <a:solidFill>
                <a:srgbClr val="000000"/>
              </a:solidFill>
              <a:latin typeface="Calibri"/>
              <a:ea typeface="Calibri"/>
              <a:cs typeface="Calibri"/>
            </a:rPr>
            <a:t> ARE</a:t>
          </a:r>
          <a:r>
            <a:rPr lang="en-US" cap="none" sz="1000" b="1" i="0" u="none" baseline="0">
              <a:solidFill>
                <a:srgbClr val="000000"/>
              </a:solidFill>
              <a:latin typeface="Calibri"/>
              <a:ea typeface="Calibri"/>
              <a:cs typeface="Calibri"/>
            </a:rPr>
            <a:t> REQUIRED FOR ALL T8</a:t>
          </a:r>
          <a:r>
            <a:rPr lang="en-US" cap="none" sz="1000" b="1" i="0" u="none" baseline="0">
              <a:solidFill>
                <a:srgbClr val="000000"/>
              </a:solidFill>
              <a:latin typeface="Calibri"/>
              <a:ea typeface="Calibri"/>
              <a:cs typeface="Calibri"/>
            </a:rPr>
            <a:t> FLUORESCENT INSTALLATIONS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46</xdr:row>
      <xdr:rowOff>0</xdr:rowOff>
    </xdr:from>
    <xdr:to>
      <xdr:col>10</xdr:col>
      <xdr:colOff>0</xdr:colOff>
      <xdr:row>46</xdr:row>
      <xdr:rowOff>0</xdr:rowOff>
    </xdr:to>
    <xdr:sp>
      <xdr:nvSpPr>
        <xdr:cNvPr id="1" name="Rectangle 21"/>
        <xdr:cNvSpPr>
          <a:spLocks/>
        </xdr:cNvSpPr>
      </xdr:nvSpPr>
      <xdr:spPr>
        <a:xfrm>
          <a:off x="5905500" y="131921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0</xdr:colOff>
      <xdr:row>46</xdr:row>
      <xdr:rowOff>0</xdr:rowOff>
    </xdr:to>
    <xdr:sp>
      <xdr:nvSpPr>
        <xdr:cNvPr id="2" name="Rectangle 22"/>
        <xdr:cNvSpPr>
          <a:spLocks/>
        </xdr:cNvSpPr>
      </xdr:nvSpPr>
      <xdr:spPr>
        <a:xfrm>
          <a:off x="5905500" y="131921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0</xdr:colOff>
      <xdr:row>46</xdr:row>
      <xdr:rowOff>0</xdr:rowOff>
    </xdr:to>
    <xdr:sp>
      <xdr:nvSpPr>
        <xdr:cNvPr id="3" name="Rectangle 23"/>
        <xdr:cNvSpPr>
          <a:spLocks/>
        </xdr:cNvSpPr>
      </xdr:nvSpPr>
      <xdr:spPr>
        <a:xfrm>
          <a:off x="5905500" y="131921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0</xdr:colOff>
      <xdr:row>46</xdr:row>
      <xdr:rowOff>0</xdr:rowOff>
    </xdr:to>
    <xdr:sp>
      <xdr:nvSpPr>
        <xdr:cNvPr id="4" name="Rectangle 24"/>
        <xdr:cNvSpPr>
          <a:spLocks/>
        </xdr:cNvSpPr>
      </xdr:nvSpPr>
      <xdr:spPr>
        <a:xfrm>
          <a:off x="5905500" y="131921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0</xdr:colOff>
      <xdr:row>46</xdr:row>
      <xdr:rowOff>0</xdr:rowOff>
    </xdr:to>
    <xdr:sp>
      <xdr:nvSpPr>
        <xdr:cNvPr id="5" name="Rectangle 25"/>
        <xdr:cNvSpPr>
          <a:spLocks/>
        </xdr:cNvSpPr>
      </xdr:nvSpPr>
      <xdr:spPr>
        <a:xfrm>
          <a:off x="5905500" y="131921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0</xdr:colOff>
      <xdr:row>46</xdr:row>
      <xdr:rowOff>0</xdr:rowOff>
    </xdr:to>
    <xdr:sp>
      <xdr:nvSpPr>
        <xdr:cNvPr id="6" name="Rectangle 26"/>
        <xdr:cNvSpPr>
          <a:spLocks/>
        </xdr:cNvSpPr>
      </xdr:nvSpPr>
      <xdr:spPr>
        <a:xfrm>
          <a:off x="5905500" y="131921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46</xdr:row>
      <xdr:rowOff>0</xdr:rowOff>
    </xdr:from>
    <xdr:to>
      <xdr:col>10</xdr:col>
      <xdr:colOff>0</xdr:colOff>
      <xdr:row>46</xdr:row>
      <xdr:rowOff>0</xdr:rowOff>
    </xdr:to>
    <xdr:sp>
      <xdr:nvSpPr>
        <xdr:cNvPr id="7" name="Rectangle 27"/>
        <xdr:cNvSpPr>
          <a:spLocks/>
        </xdr:cNvSpPr>
      </xdr:nvSpPr>
      <xdr:spPr>
        <a:xfrm>
          <a:off x="5905500" y="13192125"/>
          <a:ext cx="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542925</xdr:colOff>
      <xdr:row>76</xdr:row>
      <xdr:rowOff>66675</xdr:rowOff>
    </xdr:from>
    <xdr:to>
      <xdr:col>12</xdr:col>
      <xdr:colOff>828675</xdr:colOff>
      <xdr:row>77</xdr:row>
      <xdr:rowOff>142875</xdr:rowOff>
    </xdr:to>
    <xdr:sp>
      <xdr:nvSpPr>
        <xdr:cNvPr id="8" name="TextBox 16"/>
        <xdr:cNvSpPr txBox="1">
          <a:spLocks noChangeArrowheads="1"/>
        </xdr:cNvSpPr>
      </xdr:nvSpPr>
      <xdr:spPr>
        <a:xfrm>
          <a:off x="3505200" y="20593050"/>
          <a:ext cx="4533900" cy="2667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1" i="0" u="none" baseline="0">
              <a:solidFill>
                <a:srgbClr val="FF0000"/>
              </a:solidFill>
              <a:latin typeface="Arial"/>
              <a:ea typeface="Arial"/>
              <a:cs typeface="Arial"/>
            </a:rPr>
            <a:t>NOTE:   All projects with custom measures require pre-approval.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ctricefficiency@prpa.org"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irs.gov/pub/irs-pdf/fw9.pdf?portlet=3" TargetMode="External" /><Relationship Id="rId2" Type="http://schemas.openxmlformats.org/officeDocument/2006/relationships/hyperlink" Target="mailto:electricefficiency@prpa.or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prpa.org/productservices/lightenup.htm#Applications" TargetMode="External" /><Relationship Id="rId2" Type="http://schemas.openxmlformats.org/officeDocument/2006/relationships/hyperlink" Target="http://www.prpa.org/productservices/lightenup.htm" TargetMode="Externa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irbarrier.org/specs/index_e.php" TargetMode="Externa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82"/>
  <sheetViews>
    <sheetView showGridLines="0" tabSelected="1" zoomScaleSheetLayoutView="90" zoomScalePageLayoutView="0" workbookViewId="0" topLeftCell="A1">
      <selection activeCell="B5" sqref="B5:D5"/>
    </sheetView>
  </sheetViews>
  <sheetFormatPr defaultColWidth="9.140625" defaultRowHeight="12.75"/>
  <cols>
    <col min="1" max="1" width="15.8515625" style="126" customWidth="1"/>
    <col min="2" max="2" width="9.421875" style="126" customWidth="1"/>
    <col min="3" max="3" width="13.140625" style="126" customWidth="1"/>
    <col min="4" max="4" width="5.140625" style="126" customWidth="1"/>
    <col min="5" max="5" width="19.8515625" style="126" customWidth="1"/>
    <col min="6" max="6" width="15.8515625" style="126" customWidth="1"/>
    <col min="7" max="7" width="13.28125" style="126" customWidth="1"/>
    <col min="8" max="8" width="12.421875" style="126" customWidth="1"/>
    <col min="9" max="9" width="5.140625" style="126" customWidth="1"/>
    <col min="10" max="10" width="20.28125" style="126" customWidth="1"/>
    <col min="11" max="16384" width="9.140625" style="126" customWidth="1"/>
  </cols>
  <sheetData>
    <row r="1" spans="1:10" ht="22.5" customHeight="1">
      <c r="A1" s="125" t="s">
        <v>103</v>
      </c>
      <c r="D1" s="127"/>
      <c r="E1" s="45"/>
      <c r="F1" s="45"/>
      <c r="G1" s="45"/>
      <c r="H1" s="45"/>
      <c r="I1" s="128"/>
      <c r="J1" s="46"/>
    </row>
    <row r="2" spans="1:10" ht="15.75" customHeight="1">
      <c r="A2" s="262" t="s">
        <v>256</v>
      </c>
      <c r="D2" s="47"/>
      <c r="E2" s="48"/>
      <c r="F2" s="49"/>
      <c r="G2" s="49"/>
      <c r="H2" s="49"/>
      <c r="J2" s="50"/>
    </row>
    <row r="3" spans="1:10" ht="20.25" customHeight="1">
      <c r="A3" s="92" t="s">
        <v>326</v>
      </c>
      <c r="D3" s="47"/>
      <c r="E3" s="48"/>
      <c r="F3" s="49"/>
      <c r="G3" s="49"/>
      <c r="H3" s="49"/>
      <c r="J3" s="50"/>
    </row>
    <row r="4" spans="1:2" ht="8.25" customHeight="1" thickBot="1">
      <c r="A4" s="129"/>
      <c r="B4" s="130"/>
    </row>
    <row r="5" spans="1:10" ht="20.25" customHeight="1" thickBot="1" thickTop="1">
      <c r="A5" s="183" t="s">
        <v>317</v>
      </c>
      <c r="B5" s="824"/>
      <c r="C5" s="825"/>
      <c r="D5" s="826"/>
      <c r="E5" s="137"/>
      <c r="F5" s="131"/>
      <c r="G5" s="131"/>
      <c r="H5" s="131"/>
      <c r="I5" s="131"/>
      <c r="J5" s="131"/>
    </row>
    <row r="6" spans="1:10" ht="63.75" customHeight="1" thickTop="1">
      <c r="A6" s="834" t="s">
        <v>207</v>
      </c>
      <c r="B6" s="834"/>
      <c r="C6" s="834"/>
      <c r="D6" s="834"/>
      <c r="E6" s="834"/>
      <c r="F6" s="834"/>
      <c r="G6" s="834"/>
      <c r="H6" s="834"/>
      <c r="I6" s="834"/>
      <c r="J6" s="834"/>
    </row>
    <row r="7" spans="1:10" ht="17.25" customHeight="1">
      <c r="A7" s="143" t="s">
        <v>234</v>
      </c>
      <c r="B7" s="144"/>
      <c r="C7" s="144"/>
      <c r="D7" s="144"/>
      <c r="E7" s="144"/>
      <c r="F7" s="145"/>
      <c r="G7" s="146"/>
      <c r="H7" s="146"/>
      <c r="I7" s="146"/>
      <c r="J7" s="147"/>
    </row>
    <row r="8" spans="1:10" s="347" customFormat="1" ht="40.5" customHeight="1">
      <c r="A8" s="795" t="s">
        <v>162</v>
      </c>
      <c r="B8" s="795"/>
      <c r="C8" s="795"/>
      <c r="D8" s="795"/>
      <c r="E8" s="795"/>
      <c r="F8" s="795"/>
      <c r="G8" s="795"/>
      <c r="H8" s="795"/>
      <c r="I8" s="795"/>
      <c r="J8" s="795"/>
    </row>
    <row r="9" spans="1:10" ht="17.25" customHeight="1">
      <c r="A9" s="132" t="s">
        <v>253</v>
      </c>
      <c r="B9" s="133"/>
      <c r="C9" s="133"/>
      <c r="D9" s="133"/>
      <c r="E9" s="133"/>
      <c r="F9" s="134"/>
      <c r="G9" s="135"/>
      <c r="H9" s="135"/>
      <c r="I9" s="135"/>
      <c r="J9" s="136"/>
    </row>
    <row r="10" spans="1:10" ht="19.5" customHeight="1">
      <c r="A10" s="89" t="s">
        <v>246</v>
      </c>
      <c r="B10" s="206"/>
      <c r="C10" s="90"/>
      <c r="D10" s="90"/>
      <c r="E10" s="90"/>
      <c r="F10" s="88"/>
      <c r="G10" s="87"/>
      <c r="H10" s="88"/>
      <c r="I10" s="88"/>
      <c r="J10" s="88"/>
    </row>
    <row r="11" spans="1:10" ht="31.5" customHeight="1">
      <c r="A11" s="827" t="s">
        <v>6</v>
      </c>
      <c r="B11" s="828"/>
      <c r="C11" s="828"/>
      <c r="D11" s="828"/>
      <c r="E11" s="828"/>
      <c r="F11" s="828"/>
      <c r="G11" s="828"/>
      <c r="H11" s="828"/>
      <c r="I11" s="828"/>
      <c r="J11" s="828"/>
    </row>
    <row r="12" spans="1:10" ht="24.75" customHeight="1">
      <c r="A12" s="829" t="s">
        <v>102</v>
      </c>
      <c r="B12" s="829"/>
      <c r="C12" s="829"/>
      <c r="D12" s="829"/>
      <c r="E12" s="829"/>
      <c r="F12" s="829"/>
      <c r="G12" s="829"/>
      <c r="H12" s="829"/>
      <c r="I12" s="829"/>
      <c r="J12" s="829"/>
    </row>
    <row r="13" spans="1:10" ht="17.25" customHeight="1">
      <c r="A13" s="132" t="s">
        <v>325</v>
      </c>
      <c r="B13" s="133"/>
      <c r="C13" s="133"/>
      <c r="D13" s="133"/>
      <c r="E13" s="133"/>
      <c r="F13" s="155"/>
      <c r="G13" s="133"/>
      <c r="H13" s="133"/>
      <c r="I13" s="133"/>
      <c r="J13" s="139"/>
    </row>
    <row r="14" spans="1:10" ht="18" customHeight="1">
      <c r="A14" s="830" t="s">
        <v>235</v>
      </c>
      <c r="B14" s="830"/>
      <c r="C14" s="830"/>
      <c r="D14" s="830"/>
      <c r="E14" s="830"/>
      <c r="F14" s="830"/>
      <c r="G14" s="830"/>
      <c r="H14" s="830"/>
      <c r="I14" s="830"/>
      <c r="J14" s="830"/>
    </row>
    <row r="15" spans="1:10" ht="29.25" customHeight="1">
      <c r="A15" s="831" t="s">
        <v>108</v>
      </c>
      <c r="B15" s="831"/>
      <c r="C15" s="831"/>
      <c r="D15" s="831"/>
      <c r="E15" s="831"/>
      <c r="F15" s="831"/>
      <c r="G15" s="831"/>
      <c r="H15" s="831"/>
      <c r="I15" s="831"/>
      <c r="J15" s="831"/>
    </row>
    <row r="16" spans="1:10" ht="15" customHeight="1">
      <c r="A16" s="832" t="s">
        <v>109</v>
      </c>
      <c r="B16" s="832"/>
      <c r="C16" s="832"/>
      <c r="D16" s="832"/>
      <c r="E16" s="832"/>
      <c r="F16" s="832"/>
      <c r="G16" s="832"/>
      <c r="H16" s="832"/>
      <c r="I16" s="832"/>
      <c r="J16" s="832"/>
    </row>
    <row r="17" spans="1:10" ht="27" customHeight="1">
      <c r="A17" s="833" t="s">
        <v>239</v>
      </c>
      <c r="B17" s="833"/>
      <c r="C17" s="833"/>
      <c r="D17" s="833"/>
      <c r="E17" s="833"/>
      <c r="F17" s="833"/>
      <c r="G17" s="833"/>
      <c r="H17" s="833"/>
      <c r="I17" s="833"/>
      <c r="J17" s="833"/>
    </row>
    <row r="18" spans="1:10" ht="27.75" customHeight="1">
      <c r="A18" s="831" t="s">
        <v>236</v>
      </c>
      <c r="B18" s="831"/>
      <c r="C18" s="831"/>
      <c r="D18" s="831"/>
      <c r="E18" s="831"/>
      <c r="F18" s="831"/>
      <c r="G18" s="831"/>
      <c r="H18" s="831"/>
      <c r="I18" s="831"/>
      <c r="J18" s="831"/>
    </row>
    <row r="19" spans="1:10" ht="20.25" customHeight="1">
      <c r="A19" s="796" t="s">
        <v>237</v>
      </c>
      <c r="B19" s="797"/>
      <c r="C19" s="797"/>
      <c r="D19" s="797"/>
      <c r="E19" s="797"/>
      <c r="F19" s="797"/>
      <c r="G19" s="797"/>
      <c r="H19" s="797"/>
      <c r="I19" s="797"/>
      <c r="J19" s="797"/>
    </row>
    <row r="20" spans="1:10" ht="27.75" customHeight="1">
      <c r="A20" s="831" t="s">
        <v>110</v>
      </c>
      <c r="B20" s="831"/>
      <c r="C20" s="831"/>
      <c r="D20" s="831"/>
      <c r="E20" s="831"/>
      <c r="F20" s="831"/>
      <c r="G20" s="831"/>
      <c r="H20" s="831"/>
      <c r="I20" s="831"/>
      <c r="J20" s="831"/>
    </row>
    <row r="21" spans="1:10" ht="21.75" customHeight="1">
      <c r="A21" s="796" t="s">
        <v>238</v>
      </c>
      <c r="B21" s="797"/>
      <c r="C21" s="797"/>
      <c r="D21" s="797"/>
      <c r="E21" s="797"/>
      <c r="F21" s="797"/>
      <c r="G21" s="797"/>
      <c r="H21" s="797"/>
      <c r="I21" s="797"/>
      <c r="J21" s="797"/>
    </row>
    <row r="22" spans="1:10" ht="24" customHeight="1">
      <c r="A22" s="821" t="s">
        <v>240</v>
      </c>
      <c r="B22" s="821"/>
      <c r="C22" s="821"/>
      <c r="D22" s="821"/>
      <c r="E22" s="821"/>
      <c r="F22" s="821"/>
      <c r="G22" s="821"/>
      <c r="H22" s="821"/>
      <c r="I22" s="821"/>
      <c r="J22" s="821"/>
    </row>
    <row r="23" spans="1:10" ht="17.25" customHeight="1">
      <c r="A23" s="132" t="s">
        <v>323</v>
      </c>
      <c r="B23" s="133"/>
      <c r="C23" s="133"/>
      <c r="D23" s="133"/>
      <c r="E23" s="138"/>
      <c r="F23" s="132" t="s">
        <v>324</v>
      </c>
      <c r="G23" s="133"/>
      <c r="H23" s="133"/>
      <c r="I23" s="133"/>
      <c r="J23" s="139"/>
    </row>
    <row r="24" spans="1:10" ht="23.25" customHeight="1">
      <c r="A24" s="167" t="s">
        <v>449</v>
      </c>
      <c r="B24" s="822"/>
      <c r="C24" s="822"/>
      <c r="D24" s="822"/>
      <c r="E24" s="823"/>
      <c r="F24" s="167" t="s">
        <v>449</v>
      </c>
      <c r="G24" s="822"/>
      <c r="H24" s="822"/>
      <c r="I24" s="822"/>
      <c r="J24" s="823"/>
    </row>
    <row r="25" spans="1:10" ht="23.25" customHeight="1">
      <c r="A25" s="168" t="s">
        <v>354</v>
      </c>
      <c r="B25" s="808"/>
      <c r="C25" s="808"/>
      <c r="D25" s="808"/>
      <c r="E25" s="809"/>
      <c r="F25" s="168" t="s">
        <v>469</v>
      </c>
      <c r="G25" s="808"/>
      <c r="H25" s="808"/>
      <c r="I25" s="808"/>
      <c r="J25" s="809"/>
    </row>
    <row r="26" spans="1:10" ht="23.25" customHeight="1">
      <c r="A26" s="168" t="s">
        <v>355</v>
      </c>
      <c r="B26" s="808"/>
      <c r="C26" s="808"/>
      <c r="D26" s="813"/>
      <c r="E26" s="814"/>
      <c r="F26" s="168" t="s">
        <v>355</v>
      </c>
      <c r="G26" s="808"/>
      <c r="H26" s="808"/>
      <c r="I26" s="813"/>
      <c r="J26" s="814"/>
    </row>
    <row r="27" spans="1:10" ht="23.25" customHeight="1">
      <c r="A27" s="168" t="s">
        <v>356</v>
      </c>
      <c r="B27" s="808"/>
      <c r="C27" s="808"/>
      <c r="D27" s="808"/>
      <c r="E27" s="809"/>
      <c r="F27" s="168" t="s">
        <v>356</v>
      </c>
      <c r="G27" s="808"/>
      <c r="H27" s="808"/>
      <c r="I27" s="808"/>
      <c r="J27" s="809"/>
    </row>
    <row r="28" spans="1:10" ht="23.25" customHeight="1">
      <c r="A28" s="169" t="s">
        <v>304</v>
      </c>
      <c r="B28" s="808"/>
      <c r="C28" s="808"/>
      <c r="D28" s="808"/>
      <c r="E28" s="809"/>
      <c r="F28" s="169" t="s">
        <v>304</v>
      </c>
      <c r="G28" s="808"/>
      <c r="H28" s="808"/>
      <c r="I28" s="808"/>
      <c r="J28" s="809"/>
    </row>
    <row r="29" spans="1:10" ht="23.25" customHeight="1">
      <c r="A29" s="168" t="s">
        <v>355</v>
      </c>
      <c r="B29" s="808"/>
      <c r="C29" s="808"/>
      <c r="D29" s="808"/>
      <c r="E29" s="809"/>
      <c r="F29" s="168" t="s">
        <v>355</v>
      </c>
      <c r="G29" s="808"/>
      <c r="H29" s="808"/>
      <c r="I29" s="808"/>
      <c r="J29" s="809"/>
    </row>
    <row r="30" spans="1:10" ht="23.25" customHeight="1">
      <c r="A30" s="168" t="s">
        <v>357</v>
      </c>
      <c r="B30" s="808"/>
      <c r="C30" s="808"/>
      <c r="D30" s="315" t="s">
        <v>419</v>
      </c>
      <c r="E30" s="406"/>
      <c r="F30" s="168" t="s">
        <v>357</v>
      </c>
      <c r="G30" s="808"/>
      <c r="H30" s="808"/>
      <c r="I30" s="315" t="s">
        <v>419</v>
      </c>
      <c r="J30" s="406"/>
    </row>
    <row r="31" spans="1:10" ht="23.25" customHeight="1">
      <c r="A31" s="170" t="s">
        <v>470</v>
      </c>
      <c r="B31" s="798"/>
      <c r="C31" s="798"/>
      <c r="D31" s="799"/>
      <c r="E31" s="800"/>
      <c r="F31" s="170" t="s">
        <v>470</v>
      </c>
      <c r="G31" s="798"/>
      <c r="H31" s="798"/>
      <c r="I31" s="799"/>
      <c r="J31" s="800"/>
    </row>
    <row r="32" spans="1:10" ht="23.25" customHeight="1">
      <c r="A32" s="91" t="s">
        <v>305</v>
      </c>
      <c r="B32" s="171"/>
      <c r="C32" s="171"/>
      <c r="D32" s="805"/>
      <c r="E32" s="806"/>
      <c r="F32" s="806"/>
      <c r="G32" s="806"/>
      <c r="H32" s="806"/>
      <c r="I32" s="806"/>
      <c r="J32" s="807"/>
    </row>
    <row r="33" spans="1:10" ht="3" customHeight="1">
      <c r="A33" s="140"/>
      <c r="B33" s="141"/>
      <c r="C33" s="141"/>
      <c r="D33" s="142"/>
      <c r="E33" s="142"/>
      <c r="F33" s="140"/>
      <c r="G33" s="141"/>
      <c r="H33" s="141"/>
      <c r="I33" s="142"/>
      <c r="J33" s="142"/>
    </row>
    <row r="34" spans="1:10" ht="17.25" customHeight="1">
      <c r="A34" s="143" t="s">
        <v>322</v>
      </c>
      <c r="B34" s="144"/>
      <c r="C34" s="144"/>
      <c r="D34" s="144"/>
      <c r="E34" s="144"/>
      <c r="F34" s="145"/>
      <c r="G34" s="146"/>
      <c r="H34" s="146"/>
      <c r="I34" s="146"/>
      <c r="J34" s="147"/>
    </row>
    <row r="35" spans="1:10" ht="22.5" customHeight="1">
      <c r="A35" s="116" t="s">
        <v>358</v>
      </c>
      <c r="B35" s="117"/>
      <c r="C35" s="810" t="s">
        <v>359</v>
      </c>
      <c r="D35" s="811"/>
      <c r="E35" s="812"/>
      <c r="F35" s="208" t="s">
        <v>471</v>
      </c>
      <c r="G35" s="810" t="s">
        <v>10</v>
      </c>
      <c r="H35" s="811"/>
      <c r="I35" s="811"/>
      <c r="J35" s="812"/>
    </row>
    <row r="36" spans="1:10" ht="22.5" customHeight="1">
      <c r="A36" s="818" t="s">
        <v>320</v>
      </c>
      <c r="B36" s="819"/>
      <c r="C36" s="819"/>
      <c r="D36" s="819"/>
      <c r="E36" s="820"/>
      <c r="F36" s="209" t="s">
        <v>366</v>
      </c>
      <c r="G36" s="805"/>
      <c r="H36" s="806"/>
      <c r="I36" s="806"/>
      <c r="J36" s="807"/>
    </row>
    <row r="37" spans="1:10" ht="23.25" customHeight="1">
      <c r="A37" s="170" t="s">
        <v>303</v>
      </c>
      <c r="B37" s="207"/>
      <c r="C37" s="815"/>
      <c r="D37" s="816"/>
      <c r="E37" s="817"/>
      <c r="F37" s="210" t="s">
        <v>367</v>
      </c>
      <c r="G37" s="810" t="s">
        <v>74</v>
      </c>
      <c r="H37" s="811"/>
      <c r="I37" s="811"/>
      <c r="J37" s="812"/>
    </row>
    <row r="38" ht="3" customHeight="1" thickBot="1"/>
    <row r="39" spans="1:5" ht="0.75" customHeight="1" thickBot="1">
      <c r="A39" s="148"/>
      <c r="B39" s="131"/>
      <c r="C39" s="149"/>
      <c r="D39" s="149"/>
      <c r="E39" s="149"/>
    </row>
    <row r="40" spans="1:10" ht="17.25" customHeight="1" thickBot="1">
      <c r="A40" s="150" t="s">
        <v>302</v>
      </c>
      <c r="B40" s="151"/>
      <c r="C40" s="151"/>
      <c r="D40" s="151"/>
      <c r="E40" s="151"/>
      <c r="F40" s="152"/>
      <c r="G40" s="153"/>
      <c r="H40" s="153"/>
      <c r="I40" s="153"/>
      <c r="J40" s="154"/>
    </row>
    <row r="41" spans="1:10" ht="20.25" customHeight="1">
      <c r="A41" s="172" t="s">
        <v>360</v>
      </c>
      <c r="B41" s="802"/>
      <c r="C41" s="803"/>
      <c r="D41" s="803"/>
      <c r="E41" s="804"/>
      <c r="F41" s="173" t="s">
        <v>361</v>
      </c>
      <c r="G41" s="802"/>
      <c r="H41" s="803"/>
      <c r="I41" s="803"/>
      <c r="J41" s="804"/>
    </row>
    <row r="42" spans="1:10" ht="17.25" customHeight="1">
      <c r="A42" s="174" t="s">
        <v>472</v>
      </c>
      <c r="B42" s="159"/>
      <c r="C42" s="175"/>
      <c r="D42" s="175"/>
      <c r="E42" s="175"/>
      <c r="F42" s="176"/>
      <c r="G42" s="159"/>
      <c r="H42" s="158"/>
      <c r="I42" s="158"/>
      <c r="J42" s="177"/>
    </row>
    <row r="43" spans="1:10" ht="17.25" customHeight="1">
      <c r="A43" s="132" t="s">
        <v>473</v>
      </c>
      <c r="B43" s="133"/>
      <c r="C43" s="133"/>
      <c r="D43" s="133"/>
      <c r="E43" s="133"/>
      <c r="F43" s="134"/>
      <c r="G43" s="135"/>
      <c r="H43" s="135"/>
      <c r="I43" s="135"/>
      <c r="J43" s="136"/>
    </row>
    <row r="44" spans="1:10" ht="22.5" customHeight="1">
      <c r="A44" s="178" t="s">
        <v>321</v>
      </c>
      <c r="B44" s="89"/>
      <c r="C44" s="90"/>
      <c r="D44" s="90"/>
      <c r="E44" s="90"/>
      <c r="F44" s="88"/>
      <c r="G44" s="87"/>
      <c r="H44" s="88"/>
      <c r="I44" s="88"/>
      <c r="J44" s="88"/>
    </row>
    <row r="45" spans="1:10" ht="15.75" customHeight="1">
      <c r="A45" s="179" t="s">
        <v>427</v>
      </c>
      <c r="B45" s="180"/>
      <c r="C45" s="180"/>
      <c r="D45" s="181" t="s">
        <v>418</v>
      </c>
      <c r="E45" s="166" t="s">
        <v>318</v>
      </c>
      <c r="F45" s="182"/>
      <c r="G45" s="801" t="s">
        <v>306</v>
      </c>
      <c r="H45" s="801"/>
      <c r="I45" s="801"/>
      <c r="J45" s="801"/>
    </row>
    <row r="46" spans="1:10" ht="15" customHeight="1">
      <c r="A46" s="166" t="s">
        <v>362</v>
      </c>
      <c r="B46" s="180"/>
      <c r="C46" s="180"/>
      <c r="D46" s="181" t="s">
        <v>419</v>
      </c>
      <c r="E46" s="166" t="s">
        <v>319</v>
      </c>
      <c r="F46" s="182"/>
      <c r="G46" s="801"/>
      <c r="H46" s="801"/>
      <c r="I46" s="801"/>
      <c r="J46" s="801"/>
    </row>
    <row r="47" spans="1:10" ht="15.75" customHeight="1">
      <c r="A47" s="166" t="s">
        <v>363</v>
      </c>
      <c r="B47" s="180"/>
      <c r="C47" s="180"/>
      <c r="D47" s="181" t="s">
        <v>470</v>
      </c>
      <c r="E47" s="185" t="s">
        <v>252</v>
      </c>
      <c r="F47" s="182"/>
      <c r="G47" s="801"/>
      <c r="H47" s="801"/>
      <c r="I47" s="801"/>
      <c r="J47" s="801"/>
    </row>
    <row r="66" ht="7.5" customHeight="1"/>
    <row r="68" ht="12" hidden="1"/>
    <row r="69" ht="12" hidden="1"/>
    <row r="70" spans="1:10" ht="12" hidden="1">
      <c r="A70" s="126" t="s">
        <v>359</v>
      </c>
      <c r="E70" s="721" t="s">
        <v>364</v>
      </c>
      <c r="G70" s="721" t="s">
        <v>368</v>
      </c>
      <c r="J70" s="721" t="s">
        <v>71</v>
      </c>
    </row>
    <row r="71" spans="1:10" ht="12.75" hidden="1">
      <c r="A71" s="140" t="s">
        <v>72</v>
      </c>
      <c r="E71" s="126" t="s">
        <v>73</v>
      </c>
      <c r="G71" s="126" t="s">
        <v>74</v>
      </c>
      <c r="J71" s="126" t="s">
        <v>75</v>
      </c>
    </row>
    <row r="72" spans="1:10" ht="12.75" hidden="1">
      <c r="A72" s="722" t="s">
        <v>76</v>
      </c>
      <c r="E72" s="126" t="s">
        <v>365</v>
      </c>
      <c r="G72" s="126" t="s">
        <v>7</v>
      </c>
      <c r="J72" s="126" t="s">
        <v>8</v>
      </c>
    </row>
    <row r="73" spans="1:10" ht="12.75" hidden="1">
      <c r="A73" s="722" t="s">
        <v>9</v>
      </c>
      <c r="E73" s="126" t="s">
        <v>10</v>
      </c>
      <c r="G73" s="126" t="s">
        <v>11</v>
      </c>
      <c r="J73" s="126" t="s">
        <v>12</v>
      </c>
    </row>
    <row r="74" spans="1:10" ht="12.75" hidden="1">
      <c r="A74" s="722" t="s">
        <v>13</v>
      </c>
      <c r="E74" s="126" t="s">
        <v>14</v>
      </c>
      <c r="J74" s="126" t="s">
        <v>15</v>
      </c>
    </row>
    <row r="75" ht="12" hidden="1">
      <c r="E75" s="126" t="s">
        <v>16</v>
      </c>
    </row>
    <row r="76" ht="12" hidden="1">
      <c r="E76" s="126" t="s">
        <v>17</v>
      </c>
    </row>
    <row r="77" ht="12" hidden="1">
      <c r="E77" s="126" t="s">
        <v>18</v>
      </c>
    </row>
    <row r="78" ht="12" hidden="1">
      <c r="E78" s="126" t="s">
        <v>19</v>
      </c>
    </row>
    <row r="79" ht="12" hidden="1">
      <c r="E79" s="126" t="s">
        <v>20</v>
      </c>
    </row>
    <row r="80" ht="12" hidden="1">
      <c r="E80" s="126" t="s">
        <v>21</v>
      </c>
    </row>
    <row r="81" ht="12" hidden="1">
      <c r="E81" s="126" t="s">
        <v>22</v>
      </c>
    </row>
    <row r="82" ht="12" hidden="1">
      <c r="E82" s="126" t="s">
        <v>23</v>
      </c>
    </row>
    <row r="83" ht="12" hidden="1"/>
    <row r="84" ht="12" hidden="1"/>
    <row r="85" ht="12" hidden="1"/>
    <row r="86" ht="12" hidden="1"/>
    <row r="87" ht="12" hidden="1"/>
    <row r="88" ht="12" hidden="1"/>
  </sheetData>
  <sheetProtection sheet="1"/>
  <protectedRanges>
    <protectedRange sqref="B24:E31 D32 G24:J31 C35 G35:J37 C37 B41 G41" name="Range1"/>
  </protectedRanges>
  <mergeCells count="41">
    <mergeCell ref="B5:D5"/>
    <mergeCell ref="A11:J11"/>
    <mergeCell ref="A12:J12"/>
    <mergeCell ref="A14:J14"/>
    <mergeCell ref="A20:J20"/>
    <mergeCell ref="A15:J15"/>
    <mergeCell ref="A16:J16"/>
    <mergeCell ref="A17:J17"/>
    <mergeCell ref="A18:J18"/>
    <mergeCell ref="A6:J6"/>
    <mergeCell ref="A22:J22"/>
    <mergeCell ref="A19:J19"/>
    <mergeCell ref="B24:E24"/>
    <mergeCell ref="G24:J24"/>
    <mergeCell ref="B25:E25"/>
    <mergeCell ref="G25:J25"/>
    <mergeCell ref="G37:J37"/>
    <mergeCell ref="G35:J35"/>
    <mergeCell ref="B29:E29"/>
    <mergeCell ref="G29:J29"/>
    <mergeCell ref="B30:C30"/>
    <mergeCell ref="G30:H30"/>
    <mergeCell ref="C37:E37"/>
    <mergeCell ref="A36:E36"/>
    <mergeCell ref="B31:E31"/>
    <mergeCell ref="G27:J27"/>
    <mergeCell ref="B28:E28"/>
    <mergeCell ref="C35:E35"/>
    <mergeCell ref="B26:E26"/>
    <mergeCell ref="G26:J26"/>
    <mergeCell ref="G28:J28"/>
    <mergeCell ref="A8:J8"/>
    <mergeCell ref="A21:J21"/>
    <mergeCell ref="G31:J31"/>
    <mergeCell ref="G45:J47"/>
    <mergeCell ref="B41:E41"/>
    <mergeCell ref="G41:J41"/>
    <mergeCell ref="G36:H36"/>
    <mergeCell ref="I36:J36"/>
    <mergeCell ref="D32:J32"/>
    <mergeCell ref="B27:E27"/>
  </mergeCells>
  <conditionalFormatting sqref="C35:E35">
    <cfRule type="iconSet" priority="1" dxfId="0">
      <iconSet iconSet="3Signs">
        <cfvo type="percent" val="0"/>
        <cfvo type="percent" val="33"/>
        <cfvo type="percent" val="67"/>
      </iconSet>
    </cfRule>
  </conditionalFormatting>
  <dataValidations count="4">
    <dataValidation allowBlank="1" showInputMessage="1" sqref="H36:J36"/>
    <dataValidation type="list" allowBlank="1" showInputMessage="1" showErrorMessage="1" error="Choose from the pull down options provided" sqref="C35:E35">
      <formula1>$A$70:$A$74</formula1>
    </dataValidation>
    <dataValidation type="list" allowBlank="1" showInputMessage="1" showErrorMessage="1" error="Choose from the pull down options provided" sqref="G35:J35">
      <formula1>$E$70:$E$82</formula1>
    </dataValidation>
    <dataValidation type="list" allowBlank="1" showInputMessage="1" showErrorMessage="1" error="Choose from the pull down options provided" sqref="G37:J37">
      <formula1>$G$70:$G$73</formula1>
    </dataValidation>
  </dataValidations>
  <hyperlinks>
    <hyperlink ref="E47" r:id="rId1" display="electricefficiency@prpa.org"/>
  </hyperlinks>
  <printOptions horizontalCentered="1"/>
  <pageMargins left="0.17" right="0.16" top="0.19" bottom="0.16" header="0.17" footer="0.16"/>
  <pageSetup horizontalDpi="600" verticalDpi="600" orientation="portrait" scale="79"/>
  <headerFooter alignWithMargins="0">
    <oddFooter>&amp;R&amp;8&amp;F</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J78"/>
  <sheetViews>
    <sheetView showGridLines="0" workbookViewId="0" topLeftCell="A4">
      <selection activeCell="F9" sqref="F9"/>
    </sheetView>
  </sheetViews>
  <sheetFormatPr defaultColWidth="8.8515625" defaultRowHeight="12.75"/>
  <cols>
    <col min="1" max="1" width="11.00390625" style="0" customWidth="1"/>
    <col min="2" max="2" width="9.421875" style="0" customWidth="1"/>
    <col min="3" max="4" width="14.421875" style="0" customWidth="1"/>
    <col min="5" max="5" width="15.7109375" style="0" customWidth="1"/>
    <col min="6" max="6" width="15.421875" style="0" customWidth="1"/>
    <col min="7" max="7" width="4.28125" style="0" customWidth="1"/>
    <col min="8" max="8" width="22.7109375" style="0" customWidth="1"/>
  </cols>
  <sheetData>
    <row r="1" spans="1:10" ht="22.5" customHeight="1">
      <c r="A1" s="125" t="s">
        <v>103</v>
      </c>
      <c r="B1" s="54"/>
      <c r="C1" s="54"/>
      <c r="D1" s="55"/>
      <c r="E1" s="56"/>
      <c r="F1" s="56"/>
      <c r="G1" s="45"/>
      <c r="H1" s="848">
        <f>IF(CompanyName="","",CompanyName)</f>
      </c>
      <c r="I1" s="857"/>
      <c r="J1" s="857"/>
    </row>
    <row r="2" spans="1:10" ht="15.75" customHeight="1">
      <c r="A2" s="262" t="s">
        <v>256</v>
      </c>
      <c r="B2" s="51"/>
      <c r="C2" s="51"/>
      <c r="D2" s="47"/>
      <c r="E2" s="48"/>
      <c r="H2" s="312" t="s">
        <v>283</v>
      </c>
      <c r="I2" s="858">
        <f>IF(ApprovalCode="","",ApprovalCode)</f>
      </c>
      <c r="J2" s="858"/>
    </row>
    <row r="3" spans="1:6" ht="20.25" customHeight="1">
      <c r="A3" s="92" t="s">
        <v>157</v>
      </c>
      <c r="B3" s="57"/>
      <c r="C3" s="57"/>
      <c r="D3" s="58"/>
      <c r="E3" s="59"/>
      <c r="F3" s="37"/>
    </row>
    <row r="4" spans="1:6" ht="16.5" customHeight="1">
      <c r="A4" s="92"/>
      <c r="B4" s="92" t="s">
        <v>285</v>
      </c>
      <c r="C4" s="57"/>
      <c r="D4" s="58"/>
      <c r="E4" s="59"/>
      <c r="F4" s="37"/>
    </row>
    <row r="5" s="97" customFormat="1" ht="8.25" customHeight="1"/>
    <row r="6" spans="1:10" ht="17.25" customHeight="1">
      <c r="A6" s="132" t="s">
        <v>489</v>
      </c>
      <c r="B6" s="155"/>
      <c r="C6" s="155"/>
      <c r="D6" s="155"/>
      <c r="E6" s="155"/>
      <c r="F6" s="155"/>
      <c r="G6" s="155"/>
      <c r="H6" s="155"/>
      <c r="I6" s="155"/>
      <c r="J6" s="155"/>
    </row>
    <row r="7" spans="1:8" ht="12" customHeight="1">
      <c r="A7" s="9"/>
      <c r="B7" s="8"/>
      <c r="C7" s="8"/>
      <c r="D7" s="8"/>
      <c r="E7" s="8"/>
      <c r="F7" s="8"/>
      <c r="G7" s="7"/>
      <c r="H7" s="4"/>
    </row>
    <row r="8" spans="1:8" ht="25.5" customHeight="1">
      <c r="A8" s="1065" t="s">
        <v>491</v>
      </c>
      <c r="B8" s="1066"/>
      <c r="C8" s="414" t="s">
        <v>171</v>
      </c>
      <c r="D8" s="372" t="s">
        <v>203</v>
      </c>
      <c r="E8" s="372" t="s">
        <v>167</v>
      </c>
      <c r="G8" s="365"/>
      <c r="H8" s="4"/>
    </row>
    <row r="9" spans="1:10" ht="17.25" customHeight="1">
      <c r="A9" s="1057" t="s">
        <v>327</v>
      </c>
      <c r="B9" s="1057"/>
      <c r="C9" s="371">
        <f>'Page 2-Lighting'!$I$28</f>
        <v>0</v>
      </c>
      <c r="D9" s="374">
        <f>IF(AnnualLightingHours=0,"",('Page 2-Lighting'!$G$28/1000)*AnnualLightingHours)</f>
      </c>
      <c r="E9" s="430">
        <f>IF('Page 2-Lighting'!J20=0,"",'Page 2-Lighting'!J20)</f>
      </c>
      <c r="G9" s="367" t="s">
        <v>350</v>
      </c>
      <c r="H9" s="118"/>
      <c r="I9" s="118"/>
      <c r="J9" s="118"/>
    </row>
    <row r="10" spans="1:10" ht="18" customHeight="1">
      <c r="A10" s="1056" t="s">
        <v>441</v>
      </c>
      <c r="B10" s="1057"/>
      <c r="C10" s="332">
        <f>'Page 2-Lighting'!$K$28</f>
        <v>0</v>
      </c>
      <c r="D10" s="374">
        <f>IF('Page 2-Lighting'!$J$28=0,"",(('Page 2-Lighting'!$J$28*'Page 2-Lighting'!$F$28*0.25)/1000)*AnnualLightingHours)</f>
      </c>
      <c r="E10" s="430">
        <f>IF(C10=0,"",D10*0.06)</f>
      </c>
      <c r="G10" s="366"/>
      <c r="H10" s="1059" t="s">
        <v>351</v>
      </c>
      <c r="I10" s="1060"/>
      <c r="J10" s="1061"/>
    </row>
    <row r="11" spans="1:10" ht="16.5" customHeight="1">
      <c r="A11" s="1058" t="s">
        <v>490</v>
      </c>
      <c r="B11" s="1057"/>
      <c r="C11" s="516">
        <f>'Page 3-HVAC'!$K$30</f>
        <v>0</v>
      </c>
      <c r="D11" s="373">
        <f>IF('Page 3-HVAC'!$L$30=0,"",'Page 3-HVAC'!$L$30)</f>
      </c>
      <c r="E11" s="430">
        <f>IF('Page 3-HVAC'!$M$30=0,"",'Page 3-HVAC'!$M$30)</f>
      </c>
      <c r="G11" s="368"/>
      <c r="H11" s="1062"/>
      <c r="I11" s="1063"/>
      <c r="J11" s="1064"/>
    </row>
    <row r="12" spans="1:10" ht="15.75" customHeight="1">
      <c r="A12" s="1056" t="s">
        <v>492</v>
      </c>
      <c r="B12" s="1057"/>
      <c r="C12" s="332">
        <f>'Page 4-Envelope'!$F$26</f>
        <v>0</v>
      </c>
      <c r="D12" s="373">
        <f>IF('Page 4-Envelope'!$G$26=0,"",'Page 4-Envelope'!$G$26)</f>
      </c>
      <c r="E12" s="430">
        <f>IF('Page 4-Envelope'!H26=0,"",'Page 4-Envelope'!H26)</f>
      </c>
      <c r="G12" s="368"/>
      <c r="H12" s="1072" t="s">
        <v>206</v>
      </c>
      <c r="I12" s="1073"/>
      <c r="J12" s="1074"/>
    </row>
    <row r="13" spans="1:10" ht="15.75" customHeight="1">
      <c r="A13" s="1058" t="s">
        <v>176</v>
      </c>
      <c r="B13" s="1057"/>
      <c r="C13" s="332">
        <f>'Page 5-Food Service'!C22</f>
        <v>0</v>
      </c>
      <c r="D13" s="373">
        <f>IF('Page 5-Food Service'!J22=0,"",'Page 5-Food Service'!J22)</f>
      </c>
      <c r="E13" s="430">
        <f>IF('Page 5-Food Service'!F22=0,"",'Page 5-Food Service'!F22)</f>
      </c>
      <c r="G13" s="366"/>
      <c r="H13" s="1072"/>
      <c r="I13" s="1073"/>
      <c r="J13" s="1074"/>
    </row>
    <row r="14" spans="1:10" ht="15.75" customHeight="1">
      <c r="A14" s="1078" t="s">
        <v>365</v>
      </c>
      <c r="B14" s="1068"/>
      <c r="C14" s="332">
        <f>'Page 6-Grocery'!D20</f>
        <v>0</v>
      </c>
      <c r="D14" s="373">
        <f>IF('Page 6-Grocery'!I20=0,"",'Page 6-Grocery'!I20)</f>
      </c>
      <c r="E14" s="430">
        <f>IF('Page 6-Grocery'!G20=0,"",'Page 6-Grocery'!G20)</f>
      </c>
      <c r="G14" s="369"/>
      <c r="H14" s="1075"/>
      <c r="I14" s="1076"/>
      <c r="J14" s="1077"/>
    </row>
    <row r="15" spans="1:7" ht="15.75" customHeight="1">
      <c r="A15" s="1067" t="s">
        <v>177</v>
      </c>
      <c r="B15" s="1068"/>
      <c r="C15" s="332">
        <f>'Page 7-Office Equip'!D17</f>
        <v>0</v>
      </c>
      <c r="D15" s="373">
        <f>IF('Page 7-Office Equip'!G17=0,"",'Page 7-Office Equip'!G17)</f>
      </c>
      <c r="E15" s="430">
        <f>IF('Page 7-Office Equip'!E17="","",'Page 7-Office Equip'!E17)</f>
      </c>
      <c r="G15" s="369"/>
    </row>
    <row r="16" spans="1:7" ht="15.75" customHeight="1">
      <c r="A16" s="1056" t="s">
        <v>493</v>
      </c>
      <c r="B16" s="1057"/>
      <c r="C16" s="332">
        <f>'Page 8-Motors'!$H$44</f>
        <v>0</v>
      </c>
      <c r="D16" s="373">
        <f>IF('Page 8-Motors'!$I$44=0,"",'Page 8-Motors'!$I$44)</f>
      </c>
      <c r="E16" s="430">
        <f>IF('Page 8-Motors'!$J$44=0,"",'Page 8-Motors'!$J$44)</f>
      </c>
      <c r="G16" s="369"/>
    </row>
    <row r="17" spans="1:7" ht="15.75" customHeight="1">
      <c r="A17" s="1056" t="s">
        <v>494</v>
      </c>
      <c r="B17" s="1057"/>
      <c r="C17" s="332">
        <f>'Page 9-Custom'!$E$81</f>
        <v>0</v>
      </c>
      <c r="D17" s="373">
        <f>IF('Page 9-Custom'!$K$72=0,"",'Page 9-Custom'!$K$72)</f>
      </c>
      <c r="E17" s="430">
        <f>IF(OR('Page 9-Custom'!$L$72="",'Page 9-Custom'!$L$72=0),"",'Page 9-Custom'!$L$72)</f>
      </c>
      <c r="G17" s="369"/>
    </row>
    <row r="18" spans="1:9" ht="18.75" customHeight="1">
      <c r="A18" s="1069" t="s">
        <v>388</v>
      </c>
      <c r="B18" s="1070"/>
      <c r="C18" s="491">
        <f>SUM(C9:C17)</f>
        <v>0</v>
      </c>
      <c r="D18" s="373">
        <f>SUM(D9:D17)</f>
        <v>0</v>
      </c>
      <c r="E18" s="430">
        <f>SUM(E9:E17)</f>
        <v>0</v>
      </c>
      <c r="G18" s="370"/>
      <c r="H18" s="1071">
        <f>IF(OR(G18&gt;1000,G14&gt;0),"Needs Pre-Approval","")</f>
      </c>
      <c r="I18" s="1071"/>
    </row>
    <row r="19" spans="1:8" ht="27.75" customHeight="1">
      <c r="A19" s="13" t="s">
        <v>244</v>
      </c>
      <c r="D19" s="164"/>
      <c r="E19" s="165"/>
      <c r="F19" s="83"/>
      <c r="G19" s="124"/>
      <c r="H19" s="4"/>
    </row>
    <row r="20" s="13" customFormat="1" ht="12.75" customHeight="1">
      <c r="A20" s="13" t="s">
        <v>205</v>
      </c>
    </row>
    <row r="21" spans="1:10" ht="15.75" customHeight="1">
      <c r="A21" s="143" t="s">
        <v>369</v>
      </c>
      <c r="B21" s="211"/>
      <c r="C21" s="211"/>
      <c r="D21" s="211"/>
      <c r="E21" s="211"/>
      <c r="F21" s="211"/>
      <c r="G21" s="211"/>
      <c r="H21" s="211"/>
      <c r="I21" s="211"/>
      <c r="J21" s="211"/>
    </row>
    <row r="22" spans="1:10" s="17" customFormat="1" ht="7.5" customHeight="1">
      <c r="A22" s="212"/>
      <c r="B22" s="212"/>
      <c r="C22" s="212"/>
      <c r="D22" s="212"/>
      <c r="E22" s="212"/>
      <c r="F22" s="212"/>
      <c r="G22" s="212"/>
      <c r="H22" s="212"/>
      <c r="I22" s="212"/>
      <c r="J22" s="212"/>
    </row>
    <row r="23" spans="1:10" ht="58.5" customHeight="1">
      <c r="A23" s="157" t="s">
        <v>372</v>
      </c>
      <c r="B23" s="1053" t="s">
        <v>371</v>
      </c>
      <c r="C23" s="1053"/>
      <c r="D23" s="1053"/>
      <c r="E23" s="1053"/>
      <c r="F23" s="1053"/>
      <c r="G23" s="1053"/>
      <c r="H23" s="1053"/>
      <c r="I23" s="1053"/>
      <c r="J23" s="1053"/>
    </row>
    <row r="24" spans="1:10" ht="19.5" customHeight="1">
      <c r="A24" s="157" t="s">
        <v>373</v>
      </c>
      <c r="B24" s="1053" t="s">
        <v>296</v>
      </c>
      <c r="C24" s="1053"/>
      <c r="D24" s="1053"/>
      <c r="E24" s="1053"/>
      <c r="F24" s="1053"/>
      <c r="G24" s="1053"/>
      <c r="H24" s="1053"/>
      <c r="I24" s="1053"/>
      <c r="J24" s="1053"/>
    </row>
    <row r="25" spans="1:10" ht="19.5" customHeight="1">
      <c r="A25" s="157" t="s">
        <v>374</v>
      </c>
      <c r="B25" s="115" t="s">
        <v>254</v>
      </c>
      <c r="C25" s="120"/>
      <c r="D25" s="120"/>
      <c r="E25" s="121"/>
      <c r="F25" s="121"/>
      <c r="H25" s="1054" t="s">
        <v>309</v>
      </c>
      <c r="I25" s="1055"/>
      <c r="J25" s="1055"/>
    </row>
    <row r="26" spans="1:10" ht="12.75">
      <c r="A26" s="160" t="s">
        <v>375</v>
      </c>
      <c r="B26" s="52" t="s">
        <v>376</v>
      </c>
      <c r="C26" s="161"/>
      <c r="D26" s="161"/>
      <c r="E26" s="162"/>
      <c r="F26" s="9" t="s">
        <v>310</v>
      </c>
      <c r="H26" s="122"/>
      <c r="I26" s="121"/>
      <c r="J26" s="119"/>
    </row>
    <row r="27" spans="1:10" ht="12.75">
      <c r="A27" s="119"/>
      <c r="B27" s="13" t="s">
        <v>427</v>
      </c>
      <c r="C27" s="13"/>
      <c r="D27" s="13"/>
      <c r="E27" s="13"/>
      <c r="F27" s="13" t="s">
        <v>357</v>
      </c>
      <c r="G27" s="184" t="s">
        <v>311</v>
      </c>
      <c r="H27" s="13"/>
      <c r="I27" s="121"/>
      <c r="J27" s="119"/>
    </row>
    <row r="28" spans="1:10" ht="12.75">
      <c r="A28" s="119"/>
      <c r="B28" s="13" t="s">
        <v>429</v>
      </c>
      <c r="C28" s="13"/>
      <c r="D28" s="13"/>
      <c r="E28" s="13"/>
      <c r="F28" s="13" t="s">
        <v>419</v>
      </c>
      <c r="G28" s="184" t="s">
        <v>312</v>
      </c>
      <c r="H28" s="13"/>
      <c r="I28" s="121"/>
      <c r="J28" s="119"/>
    </row>
    <row r="29" spans="1:10" ht="12.75">
      <c r="A29" s="119"/>
      <c r="B29" s="13" t="s">
        <v>428</v>
      </c>
      <c r="C29" s="13"/>
      <c r="D29" s="13"/>
      <c r="E29" s="13"/>
      <c r="F29" s="13" t="s">
        <v>470</v>
      </c>
      <c r="G29" s="185" t="s">
        <v>252</v>
      </c>
      <c r="H29" s="13"/>
      <c r="I29" s="121"/>
      <c r="J29" s="119"/>
    </row>
    <row r="30" spans="1:10" ht="26.25" customHeight="1">
      <c r="A30" s="119"/>
      <c r="B30" s="115" t="s">
        <v>430</v>
      </c>
      <c r="C30" s="13"/>
      <c r="D30" s="13"/>
      <c r="E30" s="13"/>
      <c r="F30" s="13"/>
      <c r="G30" s="13"/>
      <c r="H30" s="13"/>
      <c r="I30" s="119"/>
      <c r="J30" s="119"/>
    </row>
    <row r="31" spans="1:10" ht="15">
      <c r="A31" s="132" t="s">
        <v>328</v>
      </c>
      <c r="B31" s="155"/>
      <c r="C31" s="155"/>
      <c r="D31" s="155"/>
      <c r="E31" s="155"/>
      <c r="F31" s="155"/>
      <c r="G31" s="155"/>
      <c r="H31" s="155"/>
      <c r="I31" s="155"/>
      <c r="J31" s="155"/>
    </row>
    <row r="32" spans="1:10" s="17" customFormat="1" ht="7.5" customHeight="1">
      <c r="A32" s="212"/>
      <c r="B32" s="212"/>
      <c r="C32" s="212"/>
      <c r="D32" s="212"/>
      <c r="E32" s="212"/>
      <c r="F32" s="212"/>
      <c r="G32" s="212"/>
      <c r="H32" s="212"/>
      <c r="I32" s="212"/>
      <c r="J32" s="212"/>
    </row>
    <row r="33" spans="1:10" ht="43.5" customHeight="1">
      <c r="A33" s="157" t="s">
        <v>372</v>
      </c>
      <c r="B33" s="1052" t="s">
        <v>297</v>
      </c>
      <c r="C33" s="1052"/>
      <c r="D33" s="1052"/>
      <c r="E33" s="1052"/>
      <c r="F33" s="1052"/>
      <c r="G33" s="1052"/>
      <c r="H33" s="1052"/>
      <c r="I33" s="1052"/>
      <c r="J33" s="1052"/>
    </row>
    <row r="34" spans="1:10" ht="35.25" customHeight="1">
      <c r="A34" s="157" t="s">
        <v>373</v>
      </c>
      <c r="B34" s="1052" t="s">
        <v>286</v>
      </c>
      <c r="C34" s="1052"/>
      <c r="D34" s="1052"/>
      <c r="E34" s="1052"/>
      <c r="F34" s="1052"/>
      <c r="G34" s="1052"/>
      <c r="H34" s="1052"/>
      <c r="I34" s="1052"/>
      <c r="J34" s="1052"/>
    </row>
    <row r="35" spans="1:10" ht="47.25" customHeight="1">
      <c r="A35" s="157" t="s">
        <v>374</v>
      </c>
      <c r="B35" s="1052" t="s">
        <v>247</v>
      </c>
      <c r="C35" s="1052"/>
      <c r="D35" s="1052"/>
      <c r="E35" s="1052"/>
      <c r="F35" s="1052"/>
      <c r="G35" s="1052"/>
      <c r="H35" s="1052"/>
      <c r="I35" s="1052"/>
      <c r="J35" s="1052"/>
    </row>
    <row r="36" spans="1:10" ht="45.75" customHeight="1">
      <c r="A36" s="157" t="s">
        <v>375</v>
      </c>
      <c r="B36" s="1052" t="s">
        <v>248</v>
      </c>
      <c r="C36" s="1052"/>
      <c r="D36" s="1052"/>
      <c r="E36" s="1052"/>
      <c r="F36" s="1052"/>
      <c r="G36" s="1052"/>
      <c r="H36" s="1052"/>
      <c r="I36" s="1052"/>
      <c r="J36" s="1052"/>
    </row>
    <row r="37" spans="1:10" ht="36" customHeight="1">
      <c r="A37" s="157" t="s">
        <v>377</v>
      </c>
      <c r="B37" s="1052" t="s">
        <v>249</v>
      </c>
      <c r="C37" s="1052"/>
      <c r="D37" s="1052"/>
      <c r="E37" s="1052"/>
      <c r="F37" s="1052"/>
      <c r="G37" s="1052"/>
      <c r="H37" s="1052"/>
      <c r="I37" s="1052"/>
      <c r="J37" s="1052"/>
    </row>
    <row r="38" spans="1:10" ht="35.25" customHeight="1">
      <c r="A38" s="157" t="s">
        <v>378</v>
      </c>
      <c r="B38" s="1052" t="s">
        <v>250</v>
      </c>
      <c r="C38" s="1052"/>
      <c r="D38" s="1052"/>
      <c r="E38" s="1052"/>
      <c r="F38" s="1052"/>
      <c r="G38" s="1052"/>
      <c r="H38" s="1052"/>
      <c r="I38" s="1052"/>
      <c r="J38" s="1052"/>
    </row>
    <row r="39" spans="1:10" ht="201.75" customHeight="1">
      <c r="A39" s="157" t="s">
        <v>379</v>
      </c>
      <c r="B39" s="1052" t="s">
        <v>245</v>
      </c>
      <c r="C39" s="1052"/>
      <c r="D39" s="1052"/>
      <c r="E39" s="1052"/>
      <c r="F39" s="1052"/>
      <c r="G39" s="1052"/>
      <c r="H39" s="1052"/>
      <c r="I39" s="1052"/>
      <c r="J39" s="1052"/>
    </row>
    <row r="40" spans="1:10" ht="15.75" customHeight="1">
      <c r="A40" s="157"/>
      <c r="B40" s="342"/>
      <c r="C40" s="342"/>
      <c r="D40" s="342"/>
      <c r="E40" s="342"/>
      <c r="F40" s="342"/>
      <c r="G40" s="342"/>
      <c r="H40" s="342"/>
      <c r="I40" s="342"/>
      <c r="J40" s="342"/>
    </row>
    <row r="41" spans="1:10" ht="22.5" customHeight="1">
      <c r="A41" s="125" t="s">
        <v>103</v>
      </c>
      <c r="B41" s="114"/>
      <c r="C41" s="114"/>
      <c r="D41" s="114"/>
      <c r="E41" s="114"/>
      <c r="F41" s="114"/>
      <c r="G41" s="114"/>
      <c r="H41" s="848">
        <f>IF('Page 1-Customer Info'!$B$24="","",'Page 1-Customer Info'!$B$24)</f>
      </c>
      <c r="I41" s="857"/>
      <c r="J41" s="857"/>
    </row>
    <row r="42" spans="1:10" ht="15.75" customHeight="1">
      <c r="A42" s="262" t="s">
        <v>256</v>
      </c>
      <c r="B42" s="92"/>
      <c r="C42" s="92"/>
      <c r="D42" s="92"/>
      <c r="E42" s="92"/>
      <c r="F42" s="92"/>
      <c r="G42" s="92"/>
      <c r="H42" s="312" t="s">
        <v>283</v>
      </c>
      <c r="I42" s="858">
        <f>'Page 1-Customer Info'!$B$5</f>
        <v>0</v>
      </c>
      <c r="J42" s="858"/>
    </row>
    <row r="43" spans="1:10" ht="20.25" customHeight="1">
      <c r="A43" s="92" t="s">
        <v>158</v>
      </c>
      <c r="B43" s="163"/>
      <c r="C43" s="163"/>
      <c r="D43" s="163"/>
      <c r="E43" s="163"/>
      <c r="F43" s="163"/>
      <c r="G43" s="163"/>
      <c r="H43" s="163"/>
      <c r="I43" s="163"/>
      <c r="J43" s="163"/>
    </row>
    <row r="44" spans="1:10" ht="8.25" customHeight="1">
      <c r="A44" s="157"/>
      <c r="B44" s="342"/>
      <c r="C44" s="342"/>
      <c r="D44" s="342"/>
      <c r="E44" s="342"/>
      <c r="F44" s="342"/>
      <c r="G44" s="342"/>
      <c r="H44" s="342"/>
      <c r="I44" s="342"/>
      <c r="J44" s="342"/>
    </row>
    <row r="45" spans="1:10" ht="16.5" customHeight="1">
      <c r="A45" s="143" t="s">
        <v>329</v>
      </c>
      <c r="B45" s="211"/>
      <c r="C45" s="211"/>
      <c r="D45" s="211"/>
      <c r="E45" s="211"/>
      <c r="F45" s="211"/>
      <c r="G45" s="211"/>
      <c r="H45" s="211"/>
      <c r="I45" s="211"/>
      <c r="J45" s="211"/>
    </row>
    <row r="46" spans="1:10" s="17" customFormat="1" ht="12.75" customHeight="1">
      <c r="A46" s="212"/>
      <c r="B46" s="212"/>
      <c r="C46" s="212"/>
      <c r="D46" s="212"/>
      <c r="E46" s="212"/>
      <c r="F46" s="212"/>
      <c r="G46" s="212"/>
      <c r="H46" s="212"/>
      <c r="I46" s="212"/>
      <c r="J46" s="212"/>
    </row>
    <row r="47" spans="1:10" ht="60" customHeight="1">
      <c r="A47" s="157" t="s">
        <v>380</v>
      </c>
      <c r="B47" s="1052" t="s">
        <v>251</v>
      </c>
      <c r="C47" s="1052"/>
      <c r="D47" s="1052"/>
      <c r="E47" s="1052"/>
      <c r="F47" s="1052"/>
      <c r="G47" s="1052"/>
      <c r="H47" s="1052"/>
      <c r="I47" s="1052"/>
      <c r="J47" s="1052"/>
    </row>
    <row r="48" spans="1:10" ht="58.5" customHeight="1">
      <c r="A48" s="157" t="s">
        <v>381</v>
      </c>
      <c r="B48" s="1052" t="s">
        <v>221</v>
      </c>
      <c r="C48" s="1052"/>
      <c r="D48" s="1052"/>
      <c r="E48" s="1052"/>
      <c r="F48" s="1052"/>
      <c r="G48" s="1052"/>
      <c r="H48" s="1052"/>
      <c r="I48" s="1052"/>
      <c r="J48" s="1052"/>
    </row>
    <row r="49" spans="1:10" ht="55.5" customHeight="1">
      <c r="A49" s="157" t="s">
        <v>382</v>
      </c>
      <c r="B49" s="1052" t="s">
        <v>5</v>
      </c>
      <c r="C49" s="1052"/>
      <c r="D49" s="1052"/>
      <c r="E49" s="1052"/>
      <c r="F49" s="1052"/>
      <c r="G49" s="1052"/>
      <c r="H49" s="1052"/>
      <c r="I49" s="1052"/>
      <c r="J49" s="1052"/>
    </row>
    <row r="50" spans="1:10" ht="45" customHeight="1">
      <c r="A50" s="157" t="s">
        <v>300</v>
      </c>
      <c r="B50" s="1051" t="s">
        <v>301</v>
      </c>
      <c r="C50" s="1051"/>
      <c r="D50" s="1051"/>
      <c r="E50" s="1051"/>
      <c r="F50" s="1051"/>
      <c r="G50" s="1051"/>
      <c r="H50" s="1051"/>
      <c r="I50" s="1051"/>
      <c r="J50" s="1051"/>
    </row>
    <row r="51" spans="1:10" ht="11.25" customHeight="1">
      <c r="A51" s="157"/>
      <c r="B51" s="163"/>
      <c r="C51" s="163"/>
      <c r="D51" s="163"/>
      <c r="E51" s="163"/>
      <c r="F51" s="163"/>
      <c r="G51" s="163"/>
      <c r="H51" s="163"/>
      <c r="I51" s="163"/>
      <c r="J51" s="163"/>
    </row>
    <row r="52" spans="1:9" ht="18.75" customHeight="1">
      <c r="A52" s="346" t="s">
        <v>344</v>
      </c>
      <c r="B52" s="13"/>
      <c r="C52" s="13"/>
      <c r="D52" s="13"/>
      <c r="E52" s="13"/>
      <c r="F52" s="13"/>
      <c r="G52" s="13"/>
      <c r="H52" s="13"/>
      <c r="I52" s="38"/>
    </row>
    <row r="53" spans="1:10" ht="33.75" customHeight="1">
      <c r="A53" s="1050" t="s">
        <v>220</v>
      </c>
      <c r="B53" s="1050"/>
      <c r="C53" s="1050"/>
      <c r="D53" s="1050"/>
      <c r="E53" s="1050"/>
      <c r="F53" s="1050"/>
      <c r="G53" s="1050"/>
      <c r="H53" s="1050"/>
      <c r="I53" s="1050"/>
      <c r="J53" s="1050"/>
    </row>
    <row r="54" spans="1:9" ht="8.25" customHeight="1">
      <c r="A54" s="219"/>
      <c r="B54" s="110"/>
      <c r="C54" s="110"/>
      <c r="D54" s="110"/>
      <c r="E54" s="110"/>
      <c r="F54" s="110"/>
      <c r="G54" s="110"/>
      <c r="H54" s="110"/>
      <c r="I54" s="39"/>
    </row>
    <row r="55" spans="1:9" ht="18.75" customHeight="1">
      <c r="A55" s="107" t="s">
        <v>447</v>
      </c>
      <c r="B55" s="319"/>
      <c r="C55" s="319"/>
      <c r="D55" s="319"/>
      <c r="E55" s="320"/>
      <c r="F55" s="108" t="s">
        <v>488</v>
      </c>
      <c r="G55" s="320"/>
      <c r="H55" s="320"/>
      <c r="I55" s="38"/>
    </row>
    <row r="56" spans="1:9" ht="19.5" customHeight="1">
      <c r="A56" s="107" t="s">
        <v>448</v>
      </c>
      <c r="B56" s="319"/>
      <c r="C56" s="319"/>
      <c r="D56" s="319"/>
      <c r="E56" s="320"/>
      <c r="F56" s="107" t="s">
        <v>418</v>
      </c>
      <c r="G56" s="319"/>
      <c r="H56" s="319"/>
      <c r="I56" s="39"/>
    </row>
    <row r="57" spans="1:9" ht="19.5" customHeight="1">
      <c r="A57" s="108" t="s">
        <v>417</v>
      </c>
      <c r="B57" s="320"/>
      <c r="C57" s="320"/>
      <c r="D57" s="320"/>
      <c r="E57" s="321"/>
      <c r="F57" s="103"/>
      <c r="G57" s="103"/>
      <c r="H57" s="103"/>
      <c r="I57" s="39"/>
    </row>
    <row r="58" spans="1:9" ht="19.5" customHeight="1">
      <c r="A58" s="108" t="s">
        <v>345</v>
      </c>
      <c r="B58" s="320"/>
      <c r="C58" s="320"/>
      <c r="D58" s="320"/>
      <c r="E58" s="320"/>
      <c r="F58" s="103"/>
      <c r="G58" s="103"/>
      <c r="H58" s="103"/>
      <c r="I58" s="39"/>
    </row>
    <row r="59" spans="1:9" ht="19.5" customHeight="1">
      <c r="A59" s="108" t="s">
        <v>469</v>
      </c>
      <c r="B59" s="320"/>
      <c r="C59" s="320"/>
      <c r="D59" s="320"/>
      <c r="E59" s="320"/>
      <c r="F59" s="103"/>
      <c r="G59" s="103"/>
      <c r="H59" s="103"/>
      <c r="I59" s="39"/>
    </row>
    <row r="60" spans="1:9" ht="19.5" customHeight="1">
      <c r="A60" s="108"/>
      <c r="B60" s="320"/>
      <c r="C60" s="320"/>
      <c r="D60" s="320"/>
      <c r="E60" s="320"/>
      <c r="F60" s="103"/>
      <c r="G60" s="103"/>
      <c r="H60" s="103"/>
      <c r="I60" s="39"/>
    </row>
    <row r="61" spans="1:9" ht="19.5" customHeight="1">
      <c r="A61" s="108" t="s">
        <v>346</v>
      </c>
      <c r="B61" s="320"/>
      <c r="C61" s="320"/>
      <c r="D61" s="320"/>
      <c r="E61" s="320"/>
      <c r="F61" s="103"/>
      <c r="G61" s="103"/>
      <c r="H61" s="103"/>
      <c r="I61" s="39"/>
    </row>
    <row r="62" spans="1:10" ht="18.75" customHeight="1">
      <c r="A62" s="157"/>
      <c r="B62" s="163"/>
      <c r="C62" s="163"/>
      <c r="D62" s="163"/>
      <c r="E62" s="163"/>
      <c r="F62" s="163"/>
      <c r="G62" s="163"/>
      <c r="H62" s="163"/>
      <c r="I62" s="163"/>
      <c r="J62" s="163"/>
    </row>
    <row r="63" spans="1:10" ht="16.5" customHeight="1">
      <c r="A63" s="132" t="s">
        <v>370</v>
      </c>
      <c r="B63" s="155"/>
      <c r="C63" s="155"/>
      <c r="D63" s="155"/>
      <c r="E63" s="155"/>
      <c r="F63" s="155"/>
      <c r="G63" s="155"/>
      <c r="H63" s="155"/>
      <c r="I63" s="155"/>
      <c r="J63" s="155"/>
    </row>
    <row r="64" spans="1:9" ht="29.25" customHeight="1">
      <c r="A64" s="103" t="s">
        <v>313</v>
      </c>
      <c r="B64" s="39"/>
      <c r="C64" s="39"/>
      <c r="D64" s="39"/>
      <c r="E64" s="39"/>
      <c r="F64" s="39"/>
      <c r="G64" s="39"/>
      <c r="H64" s="39"/>
      <c r="I64" s="39"/>
    </row>
    <row r="65" spans="1:9" ht="18" customHeight="1">
      <c r="A65" s="52" t="s">
        <v>342</v>
      </c>
      <c r="B65" s="52"/>
      <c r="C65" s="316"/>
      <c r="D65" s="316"/>
      <c r="E65" s="316"/>
      <c r="F65" s="316"/>
      <c r="G65" s="316"/>
      <c r="H65" s="316"/>
      <c r="I65" s="39"/>
    </row>
    <row r="66" spans="1:9" ht="16.5" customHeight="1">
      <c r="A66" s="52" t="s">
        <v>417</v>
      </c>
      <c r="B66" s="52"/>
      <c r="C66" s="316"/>
      <c r="D66" s="316"/>
      <c r="E66" s="316"/>
      <c r="F66" s="316"/>
      <c r="G66" s="316"/>
      <c r="H66" s="316"/>
      <c r="I66" s="39"/>
    </row>
    <row r="67" spans="1:9" ht="15.75" customHeight="1">
      <c r="A67" s="52" t="s">
        <v>449</v>
      </c>
      <c r="B67" s="52"/>
      <c r="C67" s="316"/>
      <c r="D67" s="316"/>
      <c r="E67" s="316"/>
      <c r="F67" s="316"/>
      <c r="G67" s="316"/>
      <c r="H67" s="316"/>
      <c r="I67" s="39"/>
    </row>
    <row r="68" spans="1:9" ht="15.75" customHeight="1">
      <c r="A68" s="52" t="s">
        <v>343</v>
      </c>
      <c r="B68" s="52"/>
      <c r="C68" s="316"/>
      <c r="D68" s="316"/>
      <c r="E68" s="316"/>
      <c r="F68" s="316"/>
      <c r="G68" s="316"/>
      <c r="H68" s="316"/>
      <c r="I68" s="39"/>
    </row>
    <row r="69" spans="1:9" s="52" customFormat="1" ht="16.5" customHeight="1">
      <c r="A69" s="52" t="s">
        <v>307</v>
      </c>
      <c r="C69" s="317"/>
      <c r="D69" s="317"/>
      <c r="E69" s="317"/>
      <c r="F69" s="317"/>
      <c r="G69" s="317"/>
      <c r="H69" s="317"/>
      <c r="I69" s="53"/>
    </row>
    <row r="70" spans="1:9" ht="16.5" customHeight="1">
      <c r="A70" s="52" t="s">
        <v>418</v>
      </c>
      <c r="B70" s="52"/>
      <c r="C70" s="316"/>
      <c r="D70" s="316"/>
      <c r="E70" s="316"/>
      <c r="F70" s="316"/>
      <c r="G70" s="316"/>
      <c r="H70" s="316"/>
      <c r="I70" s="39"/>
    </row>
    <row r="71" spans="1:9" ht="15.75" customHeight="1">
      <c r="A71" s="52" t="s">
        <v>308</v>
      </c>
      <c r="B71" s="52"/>
      <c r="C71" s="316"/>
      <c r="D71" s="316"/>
      <c r="E71" s="316"/>
      <c r="F71" s="316"/>
      <c r="G71" s="316"/>
      <c r="H71" s="316"/>
      <c r="I71" s="39"/>
    </row>
    <row r="72" spans="1:9" ht="18" customHeight="1">
      <c r="A72" s="103"/>
      <c r="B72" s="103"/>
      <c r="C72" s="318"/>
      <c r="D72" s="318"/>
      <c r="E72" s="318"/>
      <c r="F72" s="318"/>
      <c r="G72" s="318"/>
      <c r="H72" s="318"/>
      <c r="I72" s="39"/>
    </row>
    <row r="73" spans="1:10" ht="12.75" customHeight="1">
      <c r="A73" s="343"/>
      <c r="B73" s="343"/>
      <c r="C73" s="344"/>
      <c r="D73" s="344"/>
      <c r="E73" s="344"/>
      <c r="F73" s="344"/>
      <c r="G73" s="344"/>
      <c r="H73" s="344"/>
      <c r="I73" s="345"/>
      <c r="J73" s="97"/>
    </row>
    <row r="74" spans="1:9" ht="21" customHeight="1">
      <c r="A74" s="104" t="s">
        <v>175</v>
      </c>
      <c r="B74" s="105"/>
      <c r="C74" s="105"/>
      <c r="D74" s="105"/>
      <c r="E74" s="105"/>
      <c r="F74" s="106"/>
      <c r="G74" s="106"/>
      <c r="H74" s="106"/>
      <c r="I74" s="38"/>
    </row>
    <row r="75" spans="1:9" ht="16.5" customHeight="1">
      <c r="A75" s="107" t="s">
        <v>447</v>
      </c>
      <c r="B75" s="40"/>
      <c r="C75" s="40"/>
      <c r="D75" s="40"/>
      <c r="E75" s="41"/>
      <c r="F75" s="108" t="s">
        <v>488</v>
      </c>
      <c r="G75" s="41"/>
      <c r="H75" s="41"/>
      <c r="I75" s="43"/>
    </row>
    <row r="76" spans="1:9" ht="18" customHeight="1">
      <c r="A76" s="107" t="s">
        <v>448</v>
      </c>
      <c r="B76" s="40"/>
      <c r="C76" s="40"/>
      <c r="D76" s="40"/>
      <c r="E76" s="41"/>
      <c r="F76" s="107" t="s">
        <v>418</v>
      </c>
      <c r="G76" s="40"/>
      <c r="H76" s="40"/>
      <c r="I76" s="39"/>
    </row>
    <row r="77" spans="1:9" ht="19.5" customHeight="1">
      <c r="A77" s="108" t="s">
        <v>417</v>
      </c>
      <c r="B77" s="41"/>
      <c r="C77" s="41"/>
      <c r="D77" s="41"/>
      <c r="E77" s="42"/>
      <c r="F77" s="103"/>
      <c r="G77" s="103"/>
      <c r="H77" s="103"/>
      <c r="I77" s="39"/>
    </row>
    <row r="78" spans="1:9" ht="15" customHeight="1">
      <c r="A78" s="102"/>
      <c r="B78" s="85"/>
      <c r="C78" s="85"/>
      <c r="D78" s="86"/>
      <c r="E78" s="86"/>
      <c r="F78" s="109"/>
      <c r="G78" s="85"/>
      <c r="H78" s="85"/>
      <c r="I78" s="39"/>
    </row>
  </sheetData>
  <sheetProtection sheet="1"/>
  <protectedRanges>
    <protectedRange sqref="B55:E61 G55:H56 C65:H72" name="Range1"/>
  </protectedRanges>
  <mergeCells count="33">
    <mergeCell ref="A13:B13"/>
    <mergeCell ref="A18:B18"/>
    <mergeCell ref="H18:I18"/>
    <mergeCell ref="A10:B10"/>
    <mergeCell ref="A16:B16"/>
    <mergeCell ref="H12:J14"/>
    <mergeCell ref="A14:B14"/>
    <mergeCell ref="A9:B9"/>
    <mergeCell ref="A8:B8"/>
    <mergeCell ref="B23:J23"/>
    <mergeCell ref="B33:J33"/>
    <mergeCell ref="B48:J48"/>
    <mergeCell ref="B36:J36"/>
    <mergeCell ref="B37:J37"/>
    <mergeCell ref="A15:B15"/>
    <mergeCell ref="B34:J34"/>
    <mergeCell ref="A17:B17"/>
    <mergeCell ref="H1:J1"/>
    <mergeCell ref="H41:J41"/>
    <mergeCell ref="I42:J42"/>
    <mergeCell ref="I2:J2"/>
    <mergeCell ref="B35:J35"/>
    <mergeCell ref="B38:J38"/>
    <mergeCell ref="H25:J25"/>
    <mergeCell ref="A12:B12"/>
    <mergeCell ref="A11:B11"/>
    <mergeCell ref="H10:J11"/>
    <mergeCell ref="A53:J53"/>
    <mergeCell ref="B50:J50"/>
    <mergeCell ref="B47:J47"/>
    <mergeCell ref="B39:J39"/>
    <mergeCell ref="B24:J24"/>
    <mergeCell ref="B49:J49"/>
  </mergeCells>
  <hyperlinks>
    <hyperlink ref="H25" r:id="rId1" display="http://www.irs.gov/pub/irs-pdf/fw9.pdf?portlet=3"/>
    <hyperlink ref="G29" r:id="rId2" display="electricefficiency@prpa.org"/>
  </hyperlinks>
  <printOptions horizontalCentered="1"/>
  <pageMargins left="0.25" right="0.25" top="0.28" bottom="0.24" header="0.25" footer="0.25"/>
  <pageSetup fitToHeight="2" fitToWidth="1" horizontalDpi="600" verticalDpi="600" orientation="portrait" scale="76"/>
  <headerFooter alignWithMargins="0">
    <oddFooter>&amp;R&amp;8&amp;F</oddFooter>
  </headerFooter>
  <rowBreaks count="2" manualBreakCount="2">
    <brk id="38" max="255" man="1"/>
    <brk id="40" max="255" man="1"/>
  </rowBreaks>
</worksheet>
</file>

<file path=xl/worksheets/sheet2.xml><?xml version="1.0" encoding="utf-8"?>
<worksheet xmlns="http://schemas.openxmlformats.org/spreadsheetml/2006/main" xmlns:r="http://schemas.openxmlformats.org/officeDocument/2006/relationships">
  <dimension ref="A1:AI64"/>
  <sheetViews>
    <sheetView showGridLines="0" zoomScale="120" zoomScaleNormal="120" zoomScalePageLayoutView="0" workbookViewId="0" topLeftCell="A1">
      <selection activeCell="E2" sqref="E2"/>
    </sheetView>
  </sheetViews>
  <sheetFormatPr defaultColWidth="8.8515625" defaultRowHeight="12.75"/>
  <cols>
    <col min="1" max="1" width="21.00390625" style="0" customWidth="1"/>
    <col min="2" max="2" width="9.8515625" style="0" customWidth="1"/>
    <col min="3" max="3" width="9.00390625" style="0" customWidth="1"/>
    <col min="9" max="9" width="16.421875" style="0" customWidth="1"/>
    <col min="10" max="10" width="10.8515625" style="0" customWidth="1"/>
    <col min="11" max="11" width="12.421875" style="0" customWidth="1"/>
    <col min="12" max="53" width="9.140625" style="0" hidden="1" customWidth="1"/>
  </cols>
  <sheetData>
    <row r="1" spans="1:11" ht="22.5" customHeight="1">
      <c r="A1" s="125" t="s">
        <v>103</v>
      </c>
      <c r="B1" s="84"/>
      <c r="H1" s="848">
        <f>IF(CompanyName="","",CompanyName)</f>
      </c>
      <c r="I1" s="848"/>
      <c r="J1" s="848"/>
      <c r="K1" s="848"/>
    </row>
    <row r="2" spans="1:11" ht="15.75" customHeight="1">
      <c r="A2" s="262" t="s">
        <v>256</v>
      </c>
      <c r="H2" s="849" t="s">
        <v>283</v>
      </c>
      <c r="I2" s="849"/>
      <c r="J2" s="849">
        <f>IF(ApprovalCode="","",ApprovalCode)</f>
      </c>
      <c r="K2" s="849"/>
    </row>
    <row r="3" ht="20.25" customHeight="1">
      <c r="A3" s="92" t="s">
        <v>241</v>
      </c>
    </row>
    <row r="4" ht="8.25" customHeight="1"/>
    <row r="5" spans="1:12" ht="38.25" customHeight="1">
      <c r="A5" s="847" t="s">
        <v>95</v>
      </c>
      <c r="B5" s="847"/>
      <c r="C5" s="847"/>
      <c r="D5" s="847"/>
      <c r="E5" s="847"/>
      <c r="F5" s="847"/>
      <c r="G5" s="847"/>
      <c r="H5" s="847"/>
      <c r="I5" s="847"/>
      <c r="J5" s="847"/>
      <c r="K5" s="847"/>
      <c r="L5" s="205"/>
    </row>
    <row r="6" spans="1:11" ht="15">
      <c r="A6" s="132" t="s">
        <v>331</v>
      </c>
      <c r="B6" s="155"/>
      <c r="C6" s="155"/>
      <c r="D6" s="155"/>
      <c r="E6" s="155"/>
      <c r="F6" s="155"/>
      <c r="G6" s="155"/>
      <c r="H6" s="155"/>
      <c r="I6" s="155"/>
      <c r="J6" s="155"/>
      <c r="K6" s="155"/>
    </row>
    <row r="7" spans="1:11" s="17" customFormat="1" ht="7.5" customHeight="1">
      <c r="A7" s="212"/>
      <c r="B7" s="212"/>
      <c r="C7" s="212"/>
      <c r="D7" s="212"/>
      <c r="E7" s="212"/>
      <c r="F7" s="212"/>
      <c r="G7" s="212"/>
      <c r="H7" s="212"/>
      <c r="I7" s="212"/>
      <c r="J7" s="212"/>
      <c r="K7" s="212"/>
    </row>
    <row r="8" ht="15">
      <c r="A8" s="13" t="s">
        <v>224</v>
      </c>
    </row>
    <row r="9" spans="1:7" ht="12.75" thickBot="1">
      <c r="A9" s="185" t="s">
        <v>284</v>
      </c>
      <c r="C9" s="185"/>
      <c r="D9" s="185"/>
      <c r="E9" s="185"/>
      <c r="F9" s="185"/>
      <c r="G9" s="185"/>
    </row>
    <row r="10" spans="14:17" ht="4.5" customHeight="1" thickTop="1">
      <c r="N10" s="192"/>
      <c r="O10" s="193"/>
      <c r="P10" s="193"/>
      <c r="Q10" s="194"/>
    </row>
    <row r="11" spans="1:17" ht="12">
      <c r="A11" s="215" t="s">
        <v>68</v>
      </c>
      <c r="B11" s="14"/>
      <c r="C11" s="8"/>
      <c r="D11" s="15"/>
      <c r="E11" s="15"/>
      <c r="N11" s="195"/>
      <c r="O11" s="9" t="s">
        <v>435</v>
      </c>
      <c r="P11" s="4"/>
      <c r="Q11" s="196"/>
    </row>
    <row r="12" spans="1:17" ht="12" customHeight="1">
      <c r="A12" s="13" t="s">
        <v>67</v>
      </c>
      <c r="L12" s="212"/>
      <c r="N12" s="195"/>
      <c r="O12" s="9" t="s">
        <v>340</v>
      </c>
      <c r="P12" s="4"/>
      <c r="Q12" s="196"/>
    </row>
    <row r="13" spans="1:17" s="349" customFormat="1" ht="4.5" customHeight="1">
      <c r="A13" s="13"/>
      <c r="B13"/>
      <c r="C13"/>
      <c r="D13"/>
      <c r="E13"/>
      <c r="F13"/>
      <c r="G13"/>
      <c r="H13"/>
      <c r="I13"/>
      <c r="J13"/>
      <c r="K13"/>
      <c r="L13" s="350"/>
      <c r="M13" s="351"/>
      <c r="N13" s="352"/>
      <c r="O13" s="353"/>
      <c r="P13" s="354"/>
      <c r="Q13" s="355"/>
    </row>
    <row r="14" spans="1:17" ht="13.5" customHeight="1">
      <c r="A14" s="215" t="s">
        <v>96</v>
      </c>
      <c r="L14" s="212"/>
      <c r="N14" s="195"/>
      <c r="O14" s="9"/>
      <c r="P14" s="4"/>
      <c r="Q14" s="196"/>
    </row>
    <row r="15" spans="1:17" ht="4.5" customHeight="1">
      <c r="A15" s="349"/>
      <c r="B15" s="349"/>
      <c r="C15" s="349"/>
      <c r="D15" s="349"/>
      <c r="E15" s="349"/>
      <c r="F15" s="349"/>
      <c r="G15" s="349"/>
      <c r="H15" s="349"/>
      <c r="I15" s="349"/>
      <c r="J15" s="349"/>
      <c r="K15" s="349"/>
      <c r="L15" s="212"/>
      <c r="N15" s="195"/>
      <c r="O15" s="9"/>
      <c r="P15" s="4"/>
      <c r="Q15" s="196"/>
    </row>
    <row r="16" spans="1:17" ht="13.5" customHeight="1">
      <c r="A16" s="216" t="s">
        <v>222</v>
      </c>
      <c r="L16" s="212"/>
      <c r="N16" s="195"/>
      <c r="O16" s="9"/>
      <c r="P16" s="4"/>
      <c r="Q16" s="196"/>
    </row>
    <row r="17" spans="1:17" ht="13.5" customHeight="1">
      <c r="A17" s="216" t="s">
        <v>298</v>
      </c>
      <c r="N17" s="195"/>
      <c r="O17" s="162" t="s">
        <v>341</v>
      </c>
      <c r="P17" s="4"/>
      <c r="Q17" s="196"/>
    </row>
    <row r="18" spans="1:17" ht="15" customHeight="1">
      <c r="A18" s="216" t="s">
        <v>299</v>
      </c>
      <c r="N18" s="195"/>
      <c r="O18" s="16" t="s">
        <v>527</v>
      </c>
      <c r="P18" s="16"/>
      <c r="Q18" s="196"/>
    </row>
    <row r="19" spans="1:17" ht="9" customHeight="1">
      <c r="A19" s="216"/>
      <c r="N19" s="195"/>
      <c r="O19" s="16"/>
      <c r="P19" s="16"/>
      <c r="Q19" s="196"/>
    </row>
    <row r="20" spans="1:17" ht="18" customHeight="1">
      <c r="A20" s="837" t="s">
        <v>204</v>
      </c>
      <c r="B20" s="838"/>
      <c r="C20" s="839"/>
      <c r="D20" s="840"/>
      <c r="F20" s="378" t="s">
        <v>214</v>
      </c>
      <c r="G20" s="379"/>
      <c r="H20" s="379"/>
      <c r="I20" s="380"/>
      <c r="J20" s="835">
        <f>IF(OR(C20="",C20&gt;8760,C20&lt;0,G28=""),"",G28/1000*C20*(C20^2*0.000000000226-0.00000587*C20+0.0809))</f>
      </c>
      <c r="K20" s="836"/>
      <c r="N20" s="195"/>
      <c r="O20" s="10" t="s">
        <v>528</v>
      </c>
      <c r="P20" s="10" t="s">
        <v>426</v>
      </c>
      <c r="Q20" s="196"/>
    </row>
    <row r="21" spans="1:17" ht="24" customHeight="1" thickBot="1">
      <c r="A21" s="348" t="s">
        <v>69</v>
      </c>
      <c r="N21" s="195"/>
      <c r="O21" s="1" t="s">
        <v>495</v>
      </c>
      <c r="P21" s="12">
        <v>0.9</v>
      </c>
      <c r="Q21" s="196"/>
    </row>
    <row r="22" spans="1:17" ht="12">
      <c r="A22" s="19"/>
      <c r="B22" s="20"/>
      <c r="C22" s="21" t="s">
        <v>432</v>
      </c>
      <c r="D22" s="22"/>
      <c r="E22" s="23" t="s">
        <v>434</v>
      </c>
      <c r="F22" s="22"/>
      <c r="G22" s="24" t="s">
        <v>439</v>
      </c>
      <c r="H22" s="25"/>
      <c r="I22" s="333"/>
      <c r="J22" s="850" t="s">
        <v>330</v>
      </c>
      <c r="K22" s="851"/>
      <c r="N22" s="195"/>
      <c r="O22" s="1" t="s">
        <v>496</v>
      </c>
      <c r="P22" s="12">
        <v>1.2</v>
      </c>
      <c r="Q22" s="196"/>
    </row>
    <row r="23" spans="1:17" ht="27">
      <c r="A23" s="26" t="s">
        <v>436</v>
      </c>
      <c r="B23" s="27" t="s">
        <v>437</v>
      </c>
      <c r="C23" s="28" t="s">
        <v>440</v>
      </c>
      <c r="D23" s="29" t="s">
        <v>433</v>
      </c>
      <c r="E23" s="28" t="s">
        <v>438</v>
      </c>
      <c r="F23" s="280" t="s">
        <v>263</v>
      </c>
      <c r="G23" s="30" t="s">
        <v>440</v>
      </c>
      <c r="H23" s="31" t="s">
        <v>433</v>
      </c>
      <c r="I23" s="494" t="s">
        <v>477</v>
      </c>
      <c r="J23" s="541" t="s">
        <v>265</v>
      </c>
      <c r="K23" s="542" t="s">
        <v>258</v>
      </c>
      <c r="N23" s="195"/>
      <c r="O23" s="1" t="s">
        <v>497</v>
      </c>
      <c r="P23" s="12">
        <v>1.2</v>
      </c>
      <c r="Q23" s="196"/>
    </row>
    <row r="24" spans="1:17" ht="17.25" customHeight="1">
      <c r="A24" s="418"/>
      <c r="B24" s="419"/>
      <c r="C24" s="419"/>
      <c r="D24" s="708">
        <f>IF(OR(C24="",B24=""),"",C24/B24)</f>
      </c>
      <c r="E24" s="314">
        <f>IF(OR(F24="",B24=""),"",F24*B24)</f>
      </c>
      <c r="F24" s="710">
        <f>IF(A24="","",VLOOKUP(A24,$O$21:$P$53,2))</f>
      </c>
      <c r="G24" s="314">
        <f aca="true" t="shared" si="0" ref="G24:H27">IF(OR(C24="",E24=""),"",E24-C24)</f>
      </c>
      <c r="H24" s="710">
        <f t="shared" si="0"/>
      </c>
      <c r="I24" s="356">
        <f>IF(G24="",0,G24*0.5)</f>
        <v>0</v>
      </c>
      <c r="J24" s="543"/>
      <c r="K24" s="544">
        <f>IF(J24="",0,J24*$P$60)</f>
        <v>0</v>
      </c>
      <c r="N24" s="195"/>
      <c r="O24" s="1" t="s">
        <v>498</v>
      </c>
      <c r="P24" s="12">
        <v>1.3</v>
      </c>
      <c r="Q24" s="196"/>
    </row>
    <row r="25" spans="1:17" ht="17.25" customHeight="1">
      <c r="A25" s="418"/>
      <c r="B25" s="419"/>
      <c r="C25" s="712"/>
      <c r="D25" s="708">
        <f>IF(OR(C25="",B25=""),"",C25/B25)</f>
      </c>
      <c r="E25" s="314">
        <f>IF(OR(F25="",B25=""),"",F25*B25)</f>
      </c>
      <c r="F25" s="710">
        <f>IF(A25="","",VLOOKUP(A25,$O$21:$P$53,2))</f>
      </c>
      <c r="G25" s="314">
        <f t="shared" si="0"/>
      </c>
      <c r="H25" s="710">
        <f t="shared" si="0"/>
      </c>
      <c r="I25" s="356">
        <f>IF(G25="",0,G25*0.5)</f>
        <v>0</v>
      </c>
      <c r="J25" s="543"/>
      <c r="K25" s="544">
        <f>IF(J25="",0,J25*$P$60)</f>
        <v>0</v>
      </c>
      <c r="N25" s="195"/>
      <c r="O25" s="1" t="s">
        <v>498</v>
      </c>
      <c r="P25" s="12">
        <v>1.3</v>
      </c>
      <c r="Q25" s="196"/>
    </row>
    <row r="26" spans="1:17" ht="17.25" customHeight="1">
      <c r="A26" s="418"/>
      <c r="B26" s="419"/>
      <c r="C26" s="419"/>
      <c r="D26" s="708">
        <f>IF(OR(C26="",B26=""),"",C26/B26)</f>
      </c>
      <c r="E26" s="314">
        <f>IF(OR(F26="",B26=""),"",F26*B26)</f>
      </c>
      <c r="F26" s="710">
        <f>IF(A26="","",VLOOKUP(A26,$O$21:$P$53,2))</f>
      </c>
      <c r="G26" s="314">
        <f t="shared" si="0"/>
      </c>
      <c r="H26" s="710">
        <f t="shared" si="0"/>
      </c>
      <c r="I26" s="356">
        <f>IF(G26="",0,G26*0.5)</f>
        <v>0</v>
      </c>
      <c r="J26" s="543"/>
      <c r="K26" s="544">
        <f>IF(J26="",0,J26*$P$60)</f>
        <v>0</v>
      </c>
      <c r="N26" s="195"/>
      <c r="O26" s="1" t="s">
        <v>498</v>
      </c>
      <c r="P26" s="12">
        <v>1.3</v>
      </c>
      <c r="Q26" s="196"/>
    </row>
    <row r="27" spans="1:17" ht="17.25" customHeight="1" thickBot="1">
      <c r="A27" s="420"/>
      <c r="B27" s="421"/>
      <c r="C27" s="421"/>
      <c r="D27" s="709">
        <f>IF(OR(C27="",B27=""),"",C27/B27)</f>
      </c>
      <c r="E27" s="357">
        <f>IF(OR(F27="",B27=""),"",F27*B27)</f>
      </c>
      <c r="F27" s="711">
        <f>IF(A27="","",VLOOKUP(A27,$O$21:$P$53,2))</f>
      </c>
      <c r="G27" s="357">
        <f t="shared" si="0"/>
      </c>
      <c r="H27" s="711">
        <f t="shared" si="0"/>
      </c>
      <c r="I27" s="358">
        <f>IF(G27="",0,G27*0.5)</f>
        <v>0</v>
      </c>
      <c r="J27" s="545"/>
      <c r="K27" s="546">
        <f>IF(J27="",0,J27*$P$60)</f>
        <v>0</v>
      </c>
      <c r="N27" s="195"/>
      <c r="O27" s="1" t="s">
        <v>498</v>
      </c>
      <c r="P27" s="12">
        <v>1.3</v>
      </c>
      <c r="Q27" s="196"/>
    </row>
    <row r="28" spans="1:17" ht="18.75" customHeight="1" thickBot="1">
      <c r="A28" s="715" t="s">
        <v>223</v>
      </c>
      <c r="B28" s="717">
        <f>SUM(B24:B27)</f>
        <v>0</v>
      </c>
      <c r="C28" s="717">
        <f>SUM(C24:C27)</f>
        <v>0</v>
      </c>
      <c r="D28" s="719">
        <f>IF(OR(C28=0,B28=0),0,C28/B28)</f>
        <v>0</v>
      </c>
      <c r="E28" s="361">
        <f>SUM(E24:E27)</f>
        <v>0</v>
      </c>
      <c r="F28" s="705" t="str">
        <f>IF(B28=0,"0",E28/B28)</f>
        <v>0</v>
      </c>
      <c r="G28" s="361">
        <f>SUM(G24:G27)</f>
        <v>0</v>
      </c>
      <c r="H28" s="720">
        <f>IF(OR(D28="",F28=0),"",F28-D28)</f>
        <v>0</v>
      </c>
      <c r="I28" s="493">
        <f>SUM(I24:I27)</f>
        <v>0</v>
      </c>
      <c r="J28" s="362">
        <f>SUM(J24:J27)</f>
        <v>0</v>
      </c>
      <c r="K28" s="547">
        <f>SUM(K24:K27)</f>
        <v>0</v>
      </c>
      <c r="N28" s="195"/>
      <c r="O28" s="1" t="s">
        <v>498</v>
      </c>
      <c r="P28" s="12">
        <v>1.3</v>
      </c>
      <c r="Q28" s="196"/>
    </row>
    <row r="29" spans="1:17" ht="24.75" customHeight="1" thickTop="1">
      <c r="A29" s="714" t="s">
        <v>70</v>
      </c>
      <c r="B29" s="716"/>
      <c r="C29" s="718"/>
      <c r="D29" s="706">
        <f>IF(B28=0,"",IF(D28&lt;=F28*0.95,"YES","NO"))</f>
      </c>
      <c r="F29" s="713" t="str">
        <f>IF('Page 10-Request for Payment'!C18&gt;1000,"Needs Pre-Approval, see Page 2 for details."," ")</f>
        <v> </v>
      </c>
      <c r="N29" s="195"/>
      <c r="O29" s="1" t="s">
        <v>499</v>
      </c>
      <c r="P29" s="12">
        <v>1.4</v>
      </c>
      <c r="Q29" s="196"/>
    </row>
    <row r="30" spans="1:17" ht="9.75" customHeight="1">
      <c r="A30" s="278"/>
      <c r="B30" s="278"/>
      <c r="C30" s="278"/>
      <c r="D30" s="707"/>
      <c r="F30" s="313"/>
      <c r="N30" s="195"/>
      <c r="O30" s="1"/>
      <c r="P30" s="12"/>
      <c r="Q30" s="196"/>
    </row>
    <row r="31" spans="1:17" ht="12">
      <c r="A31" s="220" t="s">
        <v>333</v>
      </c>
      <c r="N31" s="195"/>
      <c r="O31" s="1" t="s">
        <v>500</v>
      </c>
      <c r="P31" s="12">
        <v>1.6</v>
      </c>
      <c r="Q31" s="196"/>
    </row>
    <row r="32" spans="1:17" ht="12">
      <c r="A32" s="220" t="s">
        <v>334</v>
      </c>
      <c r="N32" s="195"/>
      <c r="O32" s="1" t="s">
        <v>501</v>
      </c>
      <c r="P32" s="12">
        <v>1</v>
      </c>
      <c r="Q32" s="196"/>
    </row>
    <row r="33" spans="1:17" ht="12">
      <c r="A33" s="220" t="s">
        <v>261</v>
      </c>
      <c r="N33" s="195"/>
      <c r="O33" s="1" t="s">
        <v>502</v>
      </c>
      <c r="P33" s="12">
        <v>1</v>
      </c>
      <c r="Q33" s="196"/>
    </row>
    <row r="34" spans="1:17" ht="12">
      <c r="A34" s="220" t="s">
        <v>262</v>
      </c>
      <c r="N34" s="195"/>
      <c r="O34" s="1" t="s">
        <v>503</v>
      </c>
      <c r="P34" s="12">
        <v>1.1</v>
      </c>
      <c r="Q34" s="196"/>
    </row>
    <row r="35" spans="14:17" ht="12">
      <c r="N35" s="195"/>
      <c r="O35" s="1" t="s">
        <v>504</v>
      </c>
      <c r="P35" s="12">
        <v>1</v>
      </c>
      <c r="Q35" s="196"/>
    </row>
    <row r="36" spans="1:17" ht="21" customHeight="1">
      <c r="A36" s="274" t="s">
        <v>287</v>
      </c>
      <c r="B36" s="275"/>
      <c r="C36" s="276"/>
      <c r="D36" s="276"/>
      <c r="E36" s="277"/>
      <c r="F36" s="278"/>
      <c r="G36" s="278"/>
      <c r="H36" s="278"/>
      <c r="I36" s="278"/>
      <c r="J36" s="278"/>
      <c r="K36" s="278"/>
      <c r="N36" s="195"/>
      <c r="O36" s="1" t="s">
        <v>505</v>
      </c>
      <c r="P36" s="12">
        <v>1.2</v>
      </c>
      <c r="Q36" s="196"/>
    </row>
    <row r="37" spans="1:17" ht="15" customHeight="1">
      <c r="A37" s="32" t="s">
        <v>266</v>
      </c>
      <c r="B37" s="19" t="s">
        <v>426</v>
      </c>
      <c r="C37" s="32" t="s">
        <v>266</v>
      </c>
      <c r="D37" s="33"/>
      <c r="E37" s="34"/>
      <c r="F37" s="19" t="s">
        <v>426</v>
      </c>
      <c r="G37" s="32" t="s">
        <v>266</v>
      </c>
      <c r="H37" s="33"/>
      <c r="I37" s="34"/>
      <c r="J37" s="19" t="s">
        <v>426</v>
      </c>
      <c r="N37" s="195"/>
      <c r="O37" s="1" t="s">
        <v>506</v>
      </c>
      <c r="P37" s="12">
        <v>1</v>
      </c>
      <c r="Q37" s="196"/>
    </row>
    <row r="38" spans="1:17" ht="12">
      <c r="A38" s="2" t="s">
        <v>495</v>
      </c>
      <c r="B38" s="375">
        <v>0.9</v>
      </c>
      <c r="C38" s="2" t="s">
        <v>506</v>
      </c>
      <c r="F38" s="376">
        <v>1</v>
      </c>
      <c r="G38" s="2" t="s">
        <v>517</v>
      </c>
      <c r="H38" s="3"/>
      <c r="I38" s="18"/>
      <c r="J38" s="376">
        <v>1</v>
      </c>
      <c r="N38" s="195"/>
      <c r="O38" s="1" t="s">
        <v>507</v>
      </c>
      <c r="P38" s="12">
        <v>1.3</v>
      </c>
      <c r="Q38" s="196"/>
    </row>
    <row r="39" spans="1:17" ht="12">
      <c r="A39" s="2" t="s">
        <v>496</v>
      </c>
      <c r="B39" s="375">
        <v>1.2</v>
      </c>
      <c r="C39" s="2" t="s">
        <v>507</v>
      </c>
      <c r="D39" s="3"/>
      <c r="E39" s="18"/>
      <c r="F39" s="376">
        <v>1.3</v>
      </c>
      <c r="G39" s="2" t="s">
        <v>518</v>
      </c>
      <c r="H39" s="3"/>
      <c r="I39" s="18"/>
      <c r="J39" s="376">
        <v>1.1</v>
      </c>
      <c r="N39" s="195"/>
      <c r="O39" s="1" t="s">
        <v>508</v>
      </c>
      <c r="P39" s="12">
        <v>1.3</v>
      </c>
      <c r="Q39" s="196"/>
    </row>
    <row r="40" spans="1:17" ht="12">
      <c r="A40" s="2" t="s">
        <v>497</v>
      </c>
      <c r="B40" s="375">
        <v>1.2</v>
      </c>
      <c r="C40" s="2" t="s">
        <v>508</v>
      </c>
      <c r="D40" s="3"/>
      <c r="E40" s="18"/>
      <c r="F40" s="376">
        <v>1.3</v>
      </c>
      <c r="G40" s="2" t="s">
        <v>519</v>
      </c>
      <c r="H40" s="3"/>
      <c r="I40" s="18"/>
      <c r="J40" s="376">
        <v>1.3</v>
      </c>
      <c r="N40" s="195"/>
      <c r="O40" s="1" t="s">
        <v>513</v>
      </c>
      <c r="P40" s="12">
        <v>1</v>
      </c>
      <c r="Q40" s="196"/>
    </row>
    <row r="41" spans="1:17" ht="12">
      <c r="A41" s="2" t="s">
        <v>498</v>
      </c>
      <c r="B41" s="375">
        <v>1.3</v>
      </c>
      <c r="C41" s="2" t="s">
        <v>509</v>
      </c>
      <c r="D41" s="3"/>
      <c r="E41" s="18"/>
      <c r="F41" s="376">
        <v>1</v>
      </c>
      <c r="G41" s="2" t="s">
        <v>520</v>
      </c>
      <c r="H41" s="3"/>
      <c r="I41" s="18"/>
      <c r="J41" s="376">
        <v>1.5</v>
      </c>
      <c r="N41" s="195"/>
      <c r="O41" s="1"/>
      <c r="P41" s="12"/>
      <c r="Q41" s="196"/>
    </row>
    <row r="42" spans="1:17" ht="12">
      <c r="A42" s="2" t="s">
        <v>499</v>
      </c>
      <c r="B42" s="375">
        <v>1.4</v>
      </c>
      <c r="C42" s="2" t="s">
        <v>510</v>
      </c>
      <c r="D42" s="3"/>
      <c r="E42" s="18"/>
      <c r="F42" s="376">
        <v>1.2</v>
      </c>
      <c r="G42" s="2" t="s">
        <v>521</v>
      </c>
      <c r="H42" s="3"/>
      <c r="I42" s="18"/>
      <c r="J42" s="376">
        <v>1.2</v>
      </c>
      <c r="N42" s="195"/>
      <c r="O42" s="1" t="s">
        <v>514</v>
      </c>
      <c r="P42" s="12">
        <v>0.3</v>
      </c>
      <c r="Q42" s="196"/>
    </row>
    <row r="43" spans="1:17" ht="15" customHeight="1">
      <c r="A43" s="2" t="s">
        <v>500</v>
      </c>
      <c r="B43" s="375">
        <v>1.6</v>
      </c>
      <c r="C43" s="2" t="s">
        <v>511</v>
      </c>
      <c r="D43" s="3"/>
      <c r="E43" s="18"/>
      <c r="F43" s="376">
        <v>0.7</v>
      </c>
      <c r="G43" s="2" t="s">
        <v>522</v>
      </c>
      <c r="H43" s="3"/>
      <c r="I43" s="18"/>
      <c r="J43" s="376">
        <v>1.1</v>
      </c>
      <c r="N43" s="195"/>
      <c r="O43" s="1" t="s">
        <v>515</v>
      </c>
      <c r="P43" s="12">
        <v>1</v>
      </c>
      <c r="Q43" s="196"/>
    </row>
    <row r="44" spans="1:17" ht="12">
      <c r="A44" s="2" t="s">
        <v>501</v>
      </c>
      <c r="B44" s="375">
        <v>1</v>
      </c>
      <c r="C44" s="2" t="s">
        <v>512</v>
      </c>
      <c r="D44" s="3"/>
      <c r="E44" s="18"/>
      <c r="F44" s="376">
        <v>1.1</v>
      </c>
      <c r="G44" s="2" t="s">
        <v>523</v>
      </c>
      <c r="H44" s="3"/>
      <c r="I44" s="18"/>
      <c r="J44" s="376">
        <v>1.1</v>
      </c>
      <c r="N44" s="195"/>
      <c r="O44" s="1" t="s">
        <v>517</v>
      </c>
      <c r="P44" s="12">
        <v>1</v>
      </c>
      <c r="Q44" s="196"/>
    </row>
    <row r="45" spans="1:17" ht="12">
      <c r="A45" s="2" t="s">
        <v>502</v>
      </c>
      <c r="B45" s="375">
        <v>1</v>
      </c>
      <c r="C45" s="2" t="s">
        <v>513</v>
      </c>
      <c r="D45" s="3"/>
      <c r="E45" s="18"/>
      <c r="F45" s="376">
        <v>1</v>
      </c>
      <c r="G45" s="2" t="s">
        <v>524</v>
      </c>
      <c r="H45" s="3"/>
      <c r="I45" s="18"/>
      <c r="J45" s="376">
        <v>1</v>
      </c>
      <c r="N45" s="195"/>
      <c r="O45" s="1" t="s">
        <v>518</v>
      </c>
      <c r="P45" s="12">
        <v>1.1</v>
      </c>
      <c r="Q45" s="196"/>
    </row>
    <row r="46" spans="1:35" ht="12">
      <c r="A46" s="2" t="s">
        <v>503</v>
      </c>
      <c r="B46" s="375">
        <v>1.1</v>
      </c>
      <c r="C46" s="2" t="s">
        <v>514</v>
      </c>
      <c r="D46" s="3"/>
      <c r="E46" s="18"/>
      <c r="F46" s="376">
        <v>0.3</v>
      </c>
      <c r="G46" s="2" t="s">
        <v>525</v>
      </c>
      <c r="H46" s="3"/>
      <c r="I46" s="18"/>
      <c r="J46" s="376">
        <v>0.8</v>
      </c>
      <c r="N46" s="195"/>
      <c r="O46" s="1" t="s">
        <v>519</v>
      </c>
      <c r="P46" s="12">
        <v>1.3</v>
      </c>
      <c r="Q46" s="196"/>
      <c r="AH46" t="s">
        <v>208</v>
      </c>
      <c r="AI46" t="s">
        <v>209</v>
      </c>
    </row>
    <row r="47" spans="1:35" ht="12">
      <c r="A47" s="2" t="s">
        <v>504</v>
      </c>
      <c r="B47" s="375">
        <v>1</v>
      </c>
      <c r="C47" s="2" t="s">
        <v>515</v>
      </c>
      <c r="D47" s="3"/>
      <c r="E47" s="18"/>
      <c r="F47" s="376">
        <v>1</v>
      </c>
      <c r="G47" s="2" t="s">
        <v>526</v>
      </c>
      <c r="H47" s="3"/>
      <c r="I47" s="18"/>
      <c r="J47" s="376">
        <v>1.4</v>
      </c>
      <c r="N47" s="195"/>
      <c r="O47" s="1" t="s">
        <v>520</v>
      </c>
      <c r="P47" s="12">
        <v>1.5</v>
      </c>
      <c r="Q47" s="196"/>
      <c r="AG47" s="377" t="s">
        <v>210</v>
      </c>
      <c r="AH47" s="377" t="s">
        <v>211</v>
      </c>
      <c r="AI47" s="377" t="s">
        <v>211</v>
      </c>
    </row>
    <row r="48" spans="1:35" ht="12">
      <c r="A48" s="2" t="s">
        <v>505</v>
      </c>
      <c r="B48" s="375">
        <v>1.2</v>
      </c>
      <c r="C48" s="2" t="s">
        <v>516</v>
      </c>
      <c r="D48" s="3"/>
      <c r="E48" s="18"/>
      <c r="F48" s="376">
        <v>1.6</v>
      </c>
      <c r="N48" s="195"/>
      <c r="O48" s="1" t="s">
        <v>521</v>
      </c>
      <c r="P48" s="12">
        <v>1.2</v>
      </c>
      <c r="Q48" s="196"/>
      <c r="AG48" s="377">
        <v>2000</v>
      </c>
      <c r="AH48" s="377">
        <v>0.07</v>
      </c>
      <c r="AI48" s="377">
        <f>AG48^2*0.000000000226-0.00000587*AG48+0.0809</f>
        <v>0.070064</v>
      </c>
    </row>
    <row r="49" spans="14:35" ht="12">
      <c r="N49" s="195"/>
      <c r="O49" s="1" t="s">
        <v>522</v>
      </c>
      <c r="P49" s="12">
        <v>1.1</v>
      </c>
      <c r="Q49" s="196"/>
      <c r="AG49">
        <v>3000</v>
      </c>
      <c r="AH49">
        <v>0.065</v>
      </c>
      <c r="AI49">
        <f aca="true" t="shared" si="1" ref="AI49:AI54">AG49^2*0.000000000226-0.00000587*AG49+0.0809</f>
        <v>0.065324</v>
      </c>
    </row>
    <row r="50" spans="1:35" ht="12">
      <c r="A50" s="220" t="s">
        <v>264</v>
      </c>
      <c r="N50" s="195"/>
      <c r="O50" s="1" t="s">
        <v>523</v>
      </c>
      <c r="P50" s="12">
        <v>1.1</v>
      </c>
      <c r="Q50" s="196"/>
      <c r="AG50">
        <v>4000</v>
      </c>
      <c r="AH50">
        <v>0.062</v>
      </c>
      <c r="AI50">
        <f t="shared" si="1"/>
        <v>0.06103600000000001</v>
      </c>
    </row>
    <row r="51" spans="14:35" ht="12">
      <c r="N51" s="195"/>
      <c r="O51" s="1" t="s">
        <v>524</v>
      </c>
      <c r="P51" s="12">
        <v>1</v>
      </c>
      <c r="Q51" s="196"/>
      <c r="AG51">
        <v>5000</v>
      </c>
      <c r="AH51">
        <v>0.057</v>
      </c>
      <c r="AI51">
        <f t="shared" si="1"/>
        <v>0.0572</v>
      </c>
    </row>
    <row r="52" spans="1:35" ht="19.5" customHeight="1">
      <c r="A52" s="279" t="s">
        <v>257</v>
      </c>
      <c r="B52" s="278"/>
      <c r="C52" s="278"/>
      <c r="D52" s="278"/>
      <c r="E52" s="278"/>
      <c r="F52" s="278"/>
      <c r="G52" s="278"/>
      <c r="N52" s="195"/>
      <c r="O52" s="1" t="s">
        <v>525</v>
      </c>
      <c r="P52" s="12">
        <v>0.8</v>
      </c>
      <c r="Q52" s="196"/>
      <c r="AG52">
        <v>6000</v>
      </c>
      <c r="AH52">
        <v>0.054</v>
      </c>
      <c r="AI52">
        <f t="shared" si="1"/>
        <v>0.053815999999999996</v>
      </c>
    </row>
    <row r="53" spans="1:35" ht="12">
      <c r="A53" s="186" t="s">
        <v>443</v>
      </c>
      <c r="B53" s="843" t="s">
        <v>444</v>
      </c>
      <c r="C53" s="844"/>
      <c r="D53" s="843" t="s">
        <v>445</v>
      </c>
      <c r="E53" s="844"/>
      <c r="F53" s="843" t="s">
        <v>446</v>
      </c>
      <c r="G53" s="844"/>
      <c r="N53" s="195"/>
      <c r="O53" s="1" t="s">
        <v>526</v>
      </c>
      <c r="P53" s="12">
        <v>1.4</v>
      </c>
      <c r="Q53" s="196"/>
      <c r="AG53">
        <v>7000</v>
      </c>
      <c r="AH53">
        <v>0.05</v>
      </c>
      <c r="AI53">
        <f t="shared" si="1"/>
        <v>0.050884000000000006</v>
      </c>
    </row>
    <row r="54" spans="1:35" ht="12">
      <c r="A54" s="187" t="s">
        <v>442</v>
      </c>
      <c r="B54" s="845" t="s">
        <v>267</v>
      </c>
      <c r="C54" s="846"/>
      <c r="D54" s="845" t="s">
        <v>268</v>
      </c>
      <c r="E54" s="846"/>
      <c r="F54" s="845" t="s">
        <v>420</v>
      </c>
      <c r="G54" s="846"/>
      <c r="N54" s="195"/>
      <c r="O54" s="4"/>
      <c r="P54" s="200"/>
      <c r="Q54" s="196"/>
      <c r="AG54">
        <v>8000</v>
      </c>
      <c r="AH54">
        <v>0.049</v>
      </c>
      <c r="AI54">
        <f t="shared" si="1"/>
        <v>0.048404</v>
      </c>
    </row>
    <row r="55" spans="1:18" ht="12">
      <c r="A55" s="189" t="s">
        <v>421</v>
      </c>
      <c r="B55" s="190"/>
      <c r="C55" s="111"/>
      <c r="D55" s="190"/>
      <c r="E55" s="111"/>
      <c r="F55" s="190"/>
      <c r="G55" s="188"/>
      <c r="N55" s="195"/>
      <c r="O55" s="201" t="s">
        <v>314</v>
      </c>
      <c r="P55" s="202"/>
      <c r="Q55" s="203"/>
      <c r="R55" s="204"/>
    </row>
    <row r="56" spans="1:18" ht="13.5" customHeight="1">
      <c r="A56" s="191">
        <v>1</v>
      </c>
      <c r="B56" s="841">
        <v>3.08</v>
      </c>
      <c r="C56" s="842"/>
      <c r="D56" s="841">
        <v>3.11</v>
      </c>
      <c r="E56" s="842"/>
      <c r="F56" s="841" t="s">
        <v>422</v>
      </c>
      <c r="G56" s="842"/>
      <c r="N56" s="195"/>
      <c r="O56" s="202" t="s">
        <v>315</v>
      </c>
      <c r="P56" s="202"/>
      <c r="Q56" s="203"/>
      <c r="R56" s="204"/>
    </row>
    <row r="57" spans="1:18" ht="12">
      <c r="A57" s="191">
        <v>2</v>
      </c>
      <c r="B57" s="841">
        <v>1.6</v>
      </c>
      <c r="C57" s="842"/>
      <c r="D57" s="841">
        <v>1.58</v>
      </c>
      <c r="E57" s="842"/>
      <c r="F57" s="841">
        <v>1.55</v>
      </c>
      <c r="G57" s="842"/>
      <c r="N57" s="195"/>
      <c r="O57" s="202" t="s">
        <v>316</v>
      </c>
      <c r="P57" s="202"/>
      <c r="Q57" s="203"/>
      <c r="R57" s="204"/>
    </row>
    <row r="58" spans="1:17" ht="12.75" thickBot="1">
      <c r="A58" s="191">
        <v>3</v>
      </c>
      <c r="B58" s="841">
        <v>1.04</v>
      </c>
      <c r="C58" s="842"/>
      <c r="D58" s="841">
        <v>1.05</v>
      </c>
      <c r="E58" s="842"/>
      <c r="F58" s="841">
        <v>1.04</v>
      </c>
      <c r="G58" s="842"/>
      <c r="N58" s="197"/>
      <c r="O58" s="198"/>
      <c r="P58" s="198"/>
      <c r="Q58" s="199"/>
    </row>
    <row r="59" spans="1:7" ht="15" customHeight="1" thickTop="1">
      <c r="A59" s="191">
        <v>4</v>
      </c>
      <c r="B59" s="841">
        <v>0.79</v>
      </c>
      <c r="C59" s="842"/>
      <c r="D59" s="841">
        <v>0.8</v>
      </c>
      <c r="E59" s="842"/>
      <c r="F59" s="841">
        <v>0.77</v>
      </c>
      <c r="G59" s="842"/>
    </row>
    <row r="60" spans="1:16" ht="12">
      <c r="A60" s="189" t="s">
        <v>423</v>
      </c>
      <c r="B60" s="190"/>
      <c r="C60" s="111"/>
      <c r="D60" s="190"/>
      <c r="E60" s="111"/>
      <c r="F60" s="190"/>
      <c r="G60" s="188"/>
      <c r="O60" s="263" t="s">
        <v>259</v>
      </c>
      <c r="P60" s="264">
        <v>0.25</v>
      </c>
    </row>
    <row r="61" spans="1:7" ht="15.75" customHeight="1">
      <c r="A61" s="191">
        <v>1</v>
      </c>
      <c r="B61" s="841">
        <v>2.84</v>
      </c>
      <c r="C61" s="842"/>
      <c r="D61" s="841">
        <v>2.84</v>
      </c>
      <c r="E61" s="842"/>
      <c r="F61" s="841" t="s">
        <v>422</v>
      </c>
      <c r="G61" s="842"/>
    </row>
    <row r="62" spans="1:7" ht="12">
      <c r="A62" s="191">
        <v>2</v>
      </c>
      <c r="B62" s="841">
        <v>1.48</v>
      </c>
      <c r="C62" s="842"/>
      <c r="D62" s="841">
        <v>1.47</v>
      </c>
      <c r="E62" s="842"/>
      <c r="F62" s="841">
        <v>1.51</v>
      </c>
      <c r="G62" s="842"/>
    </row>
    <row r="63" spans="1:9" ht="12">
      <c r="A63" s="191">
        <v>3</v>
      </c>
      <c r="B63" s="841">
        <v>0.97</v>
      </c>
      <c r="C63" s="842"/>
      <c r="D63" s="841">
        <v>1</v>
      </c>
      <c r="E63" s="842"/>
      <c r="F63" s="841">
        <v>1</v>
      </c>
      <c r="G63" s="842"/>
      <c r="I63" s="220" t="s">
        <v>424</v>
      </c>
    </row>
    <row r="64" spans="1:9" ht="12">
      <c r="A64" s="191">
        <v>4</v>
      </c>
      <c r="B64" s="841">
        <v>0.76</v>
      </c>
      <c r="C64" s="842"/>
      <c r="D64" s="841">
        <v>0.75</v>
      </c>
      <c r="E64" s="842"/>
      <c r="F64" s="841">
        <v>0.75</v>
      </c>
      <c r="G64" s="842"/>
      <c r="I64" s="220" t="s">
        <v>425</v>
      </c>
    </row>
  </sheetData>
  <sheetProtection/>
  <protectedRanges>
    <protectedRange sqref="C20:D20" name="Range2"/>
    <protectedRange sqref="A24:C27 J24:J27" name="Range1"/>
  </protectedRanges>
  <mergeCells count="38">
    <mergeCell ref="A5:K5"/>
    <mergeCell ref="H1:K1"/>
    <mergeCell ref="H2:I2"/>
    <mergeCell ref="J2:K2"/>
    <mergeCell ref="J22:K22"/>
    <mergeCell ref="F63:G63"/>
    <mergeCell ref="B58:C58"/>
    <mergeCell ref="B59:C59"/>
    <mergeCell ref="B61:C61"/>
    <mergeCell ref="B62:C62"/>
    <mergeCell ref="F64:G64"/>
    <mergeCell ref="D63:E63"/>
    <mergeCell ref="D64:E64"/>
    <mergeCell ref="F58:G58"/>
    <mergeCell ref="F59:G59"/>
    <mergeCell ref="F61:G61"/>
    <mergeCell ref="F62:G62"/>
    <mergeCell ref="D59:E59"/>
    <mergeCell ref="D61:E61"/>
    <mergeCell ref="D62:E62"/>
    <mergeCell ref="F53:G53"/>
    <mergeCell ref="F54:G54"/>
    <mergeCell ref="F56:G56"/>
    <mergeCell ref="F57:G57"/>
    <mergeCell ref="D56:E56"/>
    <mergeCell ref="D53:E53"/>
    <mergeCell ref="D54:E54"/>
    <mergeCell ref="D57:E57"/>
    <mergeCell ref="J20:K20"/>
    <mergeCell ref="A20:B20"/>
    <mergeCell ref="C20:D20"/>
    <mergeCell ref="B63:C63"/>
    <mergeCell ref="B64:C64"/>
    <mergeCell ref="B53:C53"/>
    <mergeCell ref="B54:C54"/>
    <mergeCell ref="B56:C56"/>
    <mergeCell ref="B57:C57"/>
    <mergeCell ref="D58:E58"/>
  </mergeCells>
  <dataValidations count="1">
    <dataValidation type="list" allowBlank="1" showInputMessage="1" showErrorMessage="1" sqref="A24:A27">
      <formula1>LightingSpaceTypes</formula1>
    </dataValidation>
  </dataValidations>
  <hyperlinks>
    <hyperlink ref="A9:G9" r:id="rId1" display="http://www.prpa.org/productservices/lightenup.htm#Applications"/>
    <hyperlink ref="A9" r:id="rId2" display="     http://www.prpa.org/productservices/lightenup.htm"/>
  </hyperlinks>
  <printOptions/>
  <pageMargins left="0.18" right="0.25" top="0.36" bottom="0.25" header="0.25" footer="0.25"/>
  <pageSetup horizontalDpi="600" verticalDpi="600" orientation="portrait" scale="80"/>
  <headerFooter alignWithMargins="0">
    <oddFooter>&amp;R&amp;8&amp;F</oddFooter>
  </headerFooter>
  <drawing r:id="rId3"/>
</worksheet>
</file>

<file path=xl/worksheets/sheet3.xml><?xml version="1.0" encoding="utf-8"?>
<worksheet xmlns="http://schemas.openxmlformats.org/spreadsheetml/2006/main" xmlns:r="http://schemas.openxmlformats.org/officeDocument/2006/relationships">
  <dimension ref="A1:AG47"/>
  <sheetViews>
    <sheetView showGridLines="0" zoomScalePageLayoutView="0" workbookViewId="0" topLeftCell="A1">
      <selection activeCell="A3" sqref="A3"/>
    </sheetView>
  </sheetViews>
  <sheetFormatPr defaultColWidth="8.8515625" defaultRowHeight="12.75"/>
  <cols>
    <col min="1" max="1" width="6.7109375" style="0" customWidth="1"/>
    <col min="2" max="2" width="21.00390625" style="0" customWidth="1"/>
    <col min="3" max="3" width="13.421875" style="0" customWidth="1"/>
    <col min="4" max="4" width="7.421875" style="0" customWidth="1"/>
    <col min="6" max="7" width="8.7109375" style="0" customWidth="1"/>
    <col min="8" max="8" width="10.421875" style="0" customWidth="1"/>
    <col min="9" max="10" width="13.421875" style="0" customWidth="1"/>
    <col min="11" max="11" width="16.00390625" style="0" customWidth="1"/>
    <col min="12" max="12" width="13.8515625" style="0" customWidth="1"/>
    <col min="13" max="13" width="14.28125" style="0" customWidth="1"/>
    <col min="14" max="14" width="14.140625" style="0" customWidth="1"/>
    <col min="15" max="19" width="0" style="0" hidden="1" customWidth="1"/>
    <col min="20" max="20" width="10.28125" style="0" customWidth="1"/>
    <col min="21" max="32" width="0" style="0" hidden="1" customWidth="1"/>
  </cols>
  <sheetData>
    <row r="1" spans="1:28" ht="22.5" customHeight="1">
      <c r="A1" s="125" t="s">
        <v>103</v>
      </c>
      <c r="B1" s="95"/>
      <c r="C1" s="96"/>
      <c r="D1" s="96"/>
      <c r="E1" s="96"/>
      <c r="F1" s="96"/>
      <c r="G1" s="96"/>
      <c r="H1" s="96"/>
      <c r="L1" s="848">
        <f>IF(CompanyName="","",CompanyName)</f>
      </c>
      <c r="M1" s="857"/>
      <c r="N1" s="857"/>
      <c r="O1" s="4"/>
      <c r="P1" s="4"/>
      <c r="Q1" s="4"/>
      <c r="R1" s="4"/>
      <c r="S1" s="4"/>
      <c r="T1" s="4"/>
      <c r="U1" s="4"/>
      <c r="V1" s="4"/>
      <c r="W1" s="4"/>
      <c r="AB1" s="13" t="s">
        <v>24</v>
      </c>
    </row>
    <row r="2" spans="1:28" ht="15.75" customHeight="1">
      <c r="A2" s="262" t="s">
        <v>256</v>
      </c>
      <c r="B2" s="93"/>
      <c r="C2" s="93"/>
      <c r="D2" s="94"/>
      <c r="E2" s="94"/>
      <c r="F2" s="94"/>
      <c r="G2" s="94"/>
      <c r="H2" s="94"/>
      <c r="L2" s="312" t="s">
        <v>283</v>
      </c>
      <c r="M2" s="858">
        <f>IF(ApprovalCode="","",ApprovalCode)</f>
      </c>
      <c r="N2" s="858"/>
      <c r="O2" s="4"/>
      <c r="P2" s="4"/>
      <c r="Q2" s="4"/>
      <c r="R2" s="4"/>
      <c r="S2" s="4"/>
      <c r="T2" s="4"/>
      <c r="U2" s="4" t="s">
        <v>352</v>
      </c>
      <c r="V2" s="4"/>
      <c r="W2" s="4"/>
      <c r="AB2" s="13" t="s">
        <v>25</v>
      </c>
    </row>
    <row r="3" spans="1:28" ht="20.25" customHeight="1">
      <c r="A3" s="92" t="s">
        <v>58</v>
      </c>
      <c r="B3" s="98"/>
      <c r="C3" s="98"/>
      <c r="D3" s="99"/>
      <c r="E3" s="99"/>
      <c r="F3" s="99"/>
      <c r="G3" s="100"/>
      <c r="H3" s="100"/>
      <c r="I3" s="97"/>
      <c r="K3" s="100"/>
      <c r="L3" s="861"/>
      <c r="M3" s="862"/>
      <c r="N3" s="862"/>
      <c r="O3" s="4"/>
      <c r="P3" s="4"/>
      <c r="Q3" s="4"/>
      <c r="R3" s="4"/>
      <c r="S3" s="4"/>
      <c r="T3" s="4"/>
      <c r="U3" s="498" t="s">
        <v>353</v>
      </c>
      <c r="V3" s="4"/>
      <c r="W3" s="4"/>
      <c r="AB3" s="13" t="s">
        <v>482</v>
      </c>
    </row>
    <row r="4" spans="1:28" ht="5.25" customHeight="1">
      <c r="A4" s="92"/>
      <c r="B4" s="98"/>
      <c r="C4" s="98"/>
      <c r="D4" s="99"/>
      <c r="E4" s="99"/>
      <c r="F4" s="99"/>
      <c r="G4" s="100"/>
      <c r="H4" s="100"/>
      <c r="I4" s="97"/>
      <c r="J4" s="97"/>
      <c r="K4" s="101"/>
      <c r="L4" s="97"/>
      <c r="O4" s="4"/>
      <c r="P4" s="4"/>
      <c r="Q4" s="4"/>
      <c r="R4" s="4"/>
      <c r="S4" s="4"/>
      <c r="T4" s="4"/>
      <c r="U4" s="498"/>
      <c r="V4" s="4"/>
      <c r="W4" s="4"/>
      <c r="AB4" s="13" t="s">
        <v>26</v>
      </c>
    </row>
    <row r="5" spans="1:33" ht="16.5" customHeight="1">
      <c r="A5" s="132" t="s">
        <v>255</v>
      </c>
      <c r="B5" s="155"/>
      <c r="C5" s="155"/>
      <c r="D5" s="155"/>
      <c r="E5" s="155"/>
      <c r="F5" s="155"/>
      <c r="G5" s="155"/>
      <c r="H5" s="155"/>
      <c r="I5" s="155"/>
      <c r="J5" s="155"/>
      <c r="K5" s="156"/>
      <c r="L5" s="382"/>
      <c r="M5" s="382"/>
      <c r="N5" s="382"/>
      <c r="O5" s="4"/>
      <c r="P5" s="4"/>
      <c r="Q5" s="4"/>
      <c r="R5" s="4"/>
      <c r="S5" s="4"/>
      <c r="T5" s="4"/>
      <c r="U5" s="498"/>
      <c r="V5" s="4"/>
      <c r="W5" s="4"/>
      <c r="AG5" s="787"/>
    </row>
    <row r="6" spans="1:33" ht="50.25" customHeight="1">
      <c r="A6" s="123" t="s">
        <v>288</v>
      </c>
      <c r="B6" s="123" t="s">
        <v>453</v>
      </c>
      <c r="C6" s="285" t="s">
        <v>450</v>
      </c>
      <c r="D6" s="123" t="s">
        <v>451</v>
      </c>
      <c r="E6" s="285" t="s">
        <v>454</v>
      </c>
      <c r="F6" s="123" t="s">
        <v>474</v>
      </c>
      <c r="G6" s="123" t="s">
        <v>455</v>
      </c>
      <c r="H6" s="123" t="s">
        <v>456</v>
      </c>
      <c r="I6" s="391" t="s">
        <v>457</v>
      </c>
      <c r="J6" s="392" t="s">
        <v>452</v>
      </c>
      <c r="K6" s="393" t="s">
        <v>458</v>
      </c>
      <c r="L6" s="363" t="s">
        <v>213</v>
      </c>
      <c r="M6" s="363" t="s">
        <v>212</v>
      </c>
      <c r="N6" s="385" t="s">
        <v>215</v>
      </c>
      <c r="O6" s="499"/>
      <c r="P6" s="4"/>
      <c r="Q6" s="4"/>
      <c r="R6" s="4"/>
      <c r="S6" s="4"/>
      <c r="T6" s="4"/>
      <c r="U6" s="500" t="s">
        <v>347</v>
      </c>
      <c r="V6" s="500" t="s">
        <v>348</v>
      </c>
      <c r="W6" s="4"/>
      <c r="AG6" s="788"/>
    </row>
    <row r="7" spans="1:33" s="4" customFormat="1" ht="13.5">
      <c r="A7" s="422"/>
      <c r="B7" s="422"/>
      <c r="C7" s="422"/>
      <c r="D7" s="422"/>
      <c r="E7" s="422"/>
      <c r="F7" s="422"/>
      <c r="G7" s="422"/>
      <c r="H7" s="287">
        <f aca="true" t="shared" si="0" ref="H7:H16">IF(D7="","",IF(V7=1,"SEER","EER"))</f>
      </c>
      <c r="I7" s="394">
        <f aca="true" t="shared" si="1" ref="I7:I16">IF(AND(V7=1,G7&gt;=14),"65",IF(AND(V7=2,F7&gt;=11),"50",IF(AND(V7=3,F7&gt;=10.8),"50",IF(AND(V7=4,F7&gt;=10),"50","0"))))*(D7*E7)</f>
        <v>0</v>
      </c>
      <c r="J7" s="395">
        <f aca="true" t="shared" si="2" ref="J7:J16">IF(AND(V7=1,F7&gt;=12),F7-$E$40,IF(AND(V7=2,F7&gt;=11),F7-$E$41,IF(AND(V7=3,F7&gt;=10.8),F7-$E$42,IF(AND(V7=4,F7&gt;=10),F7-$E$43,"0"))))/0.1*(4*D7*E7)</f>
        <v>0</v>
      </c>
      <c r="K7" s="386">
        <f aca="true" t="shared" si="3" ref="K7:K13">SUM(I7:J7)</f>
        <v>0</v>
      </c>
      <c r="L7" s="384">
        <f>IF(D7=0,"",((D7/1.25)*1100*12000*E7)*(1/IF(D7&lt;=5,10,IF(D7&lt;=11.25,10.5,IF(D7&lt;=20,10.1,9.9)))-1/IF(D7&lt;=5,14,IF(D7&lt;=11.25,11.6,IF(D7&lt;=20,11.9,11.1))))*1/1000)</f>
      </c>
      <c r="M7" s="402">
        <f>IF(D7=0,"",L7*0.06)</f>
      </c>
      <c r="N7" s="413">
        <f>IF(D7=0,"",((D7/1.25)*0.9*12000*E7)*(1/IF(D7&lt;=5,9.4,IF(D7&lt;=11.25,10.3,IF(D7&lt;=20,9.7,9.7)))-1/F7)*1/1000)</f>
      </c>
      <c r="O7" s="404"/>
      <c r="U7" s="501">
        <f>D7*12000</f>
        <v>0</v>
      </c>
      <c r="V7" s="502">
        <f aca="true" t="shared" si="4" ref="V7:V16">IF(U7&lt;=$C$40,$A$40,IF(U7&lt;=$C$41,$A$41,IF(U7&lt;=$C$42,$A$42,$A$43)))</f>
        <v>1</v>
      </c>
      <c r="AG7" s="788"/>
    </row>
    <row r="8" spans="1:33" s="4" customFormat="1" ht="13.5">
      <c r="A8" s="422"/>
      <c r="B8" s="424"/>
      <c r="C8" s="424"/>
      <c r="D8" s="424"/>
      <c r="E8" s="424"/>
      <c r="F8" s="424"/>
      <c r="G8" s="424"/>
      <c r="H8" s="288">
        <f t="shared" si="0"/>
      </c>
      <c r="I8" s="394">
        <f t="shared" si="1"/>
        <v>0</v>
      </c>
      <c r="J8" s="395">
        <f t="shared" si="2"/>
        <v>0</v>
      </c>
      <c r="K8" s="411">
        <f t="shared" si="3"/>
        <v>0</v>
      </c>
      <c r="L8" s="384">
        <f aca="true" t="shared" si="5" ref="L8:L16">IF(D8=0,"",((D8/1.25)*1100*12000*E8)*(1/IF(D8&lt;=5,10,IF(D8&lt;=11.25,10.5,IF(D8&lt;=20,10.1,9.9)))-1/IF(D8&lt;=5,14,IF(D8&lt;=11.25,11.6,IF(D8&lt;=20,11.9,11.1))))*1/1000)</f>
      </c>
      <c r="M8" s="402">
        <f aca="true" t="shared" si="6" ref="M8:M16">IF(D8=0,"",L8*0.06)</f>
      </c>
      <c r="N8" s="413">
        <f>IF(D8=0,"",((D8/1.25)*0.9*12000*E8)*(1/IF(D8&lt;=5,9.4,IF(D8&lt;=11.25,10.3,IF(D8&lt;=20,9.7,9.7)))-1/F8)*1/1000)</f>
      </c>
      <c r="O8" s="404"/>
      <c r="Q8" s="503"/>
      <c r="U8" s="501">
        <f>D8*12000</f>
        <v>0</v>
      </c>
      <c r="V8" s="502">
        <f t="shared" si="4"/>
        <v>1</v>
      </c>
      <c r="AG8" s="787" t="s">
        <v>24</v>
      </c>
    </row>
    <row r="9" spans="1:33" s="4" customFormat="1" ht="13.5">
      <c r="A9" s="422"/>
      <c r="B9" s="424"/>
      <c r="C9" s="424"/>
      <c r="D9" s="424"/>
      <c r="E9" s="424"/>
      <c r="F9" s="424"/>
      <c r="G9" s="424"/>
      <c r="H9" s="288">
        <f t="shared" si="0"/>
      </c>
      <c r="I9" s="394">
        <f t="shared" si="1"/>
        <v>0</v>
      </c>
      <c r="J9" s="395">
        <f t="shared" si="2"/>
        <v>0</v>
      </c>
      <c r="K9" s="412">
        <f t="shared" si="3"/>
        <v>0</v>
      </c>
      <c r="L9" s="384">
        <f t="shared" si="5"/>
      </c>
      <c r="M9" s="402">
        <f t="shared" si="6"/>
      </c>
      <c r="N9" s="413">
        <f aca="true" t="shared" si="7" ref="N9:N16">IF(D9=0,"",((D9/1.25)*0.9*12000*E9)*(1/IF(D9&lt;=5,9.4,IF(D9&lt;=11.25,10.3,IF(D9&lt;=20,9.7,9.7)))-1/F9)*1/1000)</f>
      </c>
      <c r="O9" s="404"/>
      <c r="U9" s="501">
        <f>D9*12000</f>
        <v>0</v>
      </c>
      <c r="V9" s="502">
        <f t="shared" si="4"/>
        <v>1</v>
      </c>
      <c r="AG9" s="788" t="s">
        <v>25</v>
      </c>
    </row>
    <row r="10" spans="1:33" s="4" customFormat="1" ht="13.5">
      <c r="A10" s="422"/>
      <c r="B10" s="423"/>
      <c r="C10" s="423"/>
      <c r="D10" s="423"/>
      <c r="E10" s="423"/>
      <c r="F10" s="423"/>
      <c r="G10" s="423"/>
      <c r="H10" s="288">
        <f t="shared" si="0"/>
      </c>
      <c r="I10" s="394">
        <f t="shared" si="1"/>
        <v>0</v>
      </c>
      <c r="J10" s="395">
        <f t="shared" si="2"/>
        <v>0</v>
      </c>
      <c r="K10" s="388">
        <f t="shared" si="3"/>
        <v>0</v>
      </c>
      <c r="L10" s="384">
        <f t="shared" si="5"/>
      </c>
      <c r="M10" s="402">
        <f t="shared" si="6"/>
      </c>
      <c r="N10" s="413">
        <f t="shared" si="7"/>
      </c>
      <c r="O10" s="404"/>
      <c r="U10" s="504">
        <f>D10*12000</f>
        <v>0</v>
      </c>
      <c r="V10" s="505">
        <f t="shared" si="4"/>
        <v>1</v>
      </c>
      <c r="AG10" s="788" t="s">
        <v>482</v>
      </c>
    </row>
    <row r="11" spans="1:33" s="4" customFormat="1" ht="13.5">
      <c r="A11" s="422"/>
      <c r="B11" s="424"/>
      <c r="C11" s="424"/>
      <c r="D11" s="424"/>
      <c r="E11" s="424"/>
      <c r="F11" s="424"/>
      <c r="G11" s="424"/>
      <c r="H11" s="288">
        <f t="shared" si="0"/>
      </c>
      <c r="I11" s="394">
        <f t="shared" si="1"/>
        <v>0</v>
      </c>
      <c r="J11" s="395">
        <f t="shared" si="2"/>
        <v>0</v>
      </c>
      <c r="K11" s="387">
        <f t="shared" si="3"/>
        <v>0</v>
      </c>
      <c r="L11" s="384">
        <f t="shared" si="5"/>
      </c>
      <c r="M11" s="402">
        <f t="shared" si="6"/>
      </c>
      <c r="N11" s="413">
        <f t="shared" si="7"/>
      </c>
      <c r="O11" s="404"/>
      <c r="U11" s="504">
        <f aca="true" t="shared" si="8" ref="U11:U16">D11*12000</f>
        <v>0</v>
      </c>
      <c r="V11" s="505">
        <f t="shared" si="4"/>
        <v>1</v>
      </c>
      <c r="AG11" s="789" t="s">
        <v>53</v>
      </c>
    </row>
    <row r="12" spans="1:33" s="4" customFormat="1" ht="13.5">
      <c r="A12" s="422"/>
      <c r="B12" s="424"/>
      <c r="C12" s="424"/>
      <c r="D12" s="424"/>
      <c r="E12" s="424"/>
      <c r="F12" s="424"/>
      <c r="G12" s="424"/>
      <c r="H12" s="287">
        <f t="shared" si="0"/>
      </c>
      <c r="I12" s="394">
        <f t="shared" si="1"/>
        <v>0</v>
      </c>
      <c r="J12" s="395">
        <f t="shared" si="2"/>
        <v>0</v>
      </c>
      <c r="K12" s="387">
        <f t="shared" si="3"/>
        <v>0</v>
      </c>
      <c r="L12" s="384">
        <f t="shared" si="5"/>
      </c>
      <c r="M12" s="402">
        <f t="shared" si="6"/>
      </c>
      <c r="N12" s="413">
        <f t="shared" si="7"/>
      </c>
      <c r="O12" s="404"/>
      <c r="U12" s="504">
        <f t="shared" si="8"/>
        <v>0</v>
      </c>
      <c r="V12" s="505">
        <f t="shared" si="4"/>
        <v>1</v>
      </c>
      <c r="AG12" s="789" t="s">
        <v>54</v>
      </c>
    </row>
    <row r="13" spans="1:22" s="4" customFormat="1" ht="13.5">
      <c r="A13" s="422"/>
      <c r="B13" s="424"/>
      <c r="C13" s="424"/>
      <c r="D13" s="424"/>
      <c r="E13" s="424"/>
      <c r="F13" s="424"/>
      <c r="G13" s="424"/>
      <c r="H13" s="287">
        <f t="shared" si="0"/>
      </c>
      <c r="I13" s="394">
        <f t="shared" si="1"/>
        <v>0</v>
      </c>
      <c r="J13" s="395">
        <f t="shared" si="2"/>
        <v>0</v>
      </c>
      <c r="K13" s="387">
        <f t="shared" si="3"/>
        <v>0</v>
      </c>
      <c r="L13" s="384">
        <f t="shared" si="5"/>
      </c>
      <c r="M13" s="402">
        <f t="shared" si="6"/>
      </c>
      <c r="N13" s="413">
        <f t="shared" si="7"/>
      </c>
      <c r="O13" s="404"/>
      <c r="Q13" s="497"/>
      <c r="U13" s="504">
        <f t="shared" si="8"/>
        <v>0</v>
      </c>
      <c r="V13" s="505">
        <f t="shared" si="4"/>
        <v>1</v>
      </c>
    </row>
    <row r="14" spans="1:22" s="4" customFormat="1" ht="12.75" customHeight="1">
      <c r="A14" s="422"/>
      <c r="B14" s="424"/>
      <c r="C14" s="424"/>
      <c r="D14" s="424"/>
      <c r="E14" s="424"/>
      <c r="F14" s="424"/>
      <c r="G14" s="424"/>
      <c r="H14" s="287">
        <f t="shared" si="0"/>
      </c>
      <c r="I14" s="394">
        <f t="shared" si="1"/>
        <v>0</v>
      </c>
      <c r="J14" s="395">
        <f t="shared" si="2"/>
        <v>0</v>
      </c>
      <c r="K14" s="387">
        <f>SUM(I14:J14)</f>
        <v>0</v>
      </c>
      <c r="L14" s="384">
        <f t="shared" si="5"/>
      </c>
      <c r="M14" s="402">
        <f t="shared" si="6"/>
      </c>
      <c r="N14" s="413">
        <f t="shared" si="7"/>
      </c>
      <c r="O14" s="404"/>
      <c r="U14" s="504">
        <f t="shared" si="8"/>
        <v>0</v>
      </c>
      <c r="V14" s="505">
        <f t="shared" si="4"/>
        <v>1</v>
      </c>
    </row>
    <row r="15" spans="1:22" s="4" customFormat="1" ht="13.5">
      <c r="A15" s="422"/>
      <c r="B15" s="423"/>
      <c r="C15" s="423"/>
      <c r="D15" s="423"/>
      <c r="E15" s="423"/>
      <c r="F15" s="423"/>
      <c r="G15" s="423"/>
      <c r="H15" s="287">
        <f t="shared" si="0"/>
      </c>
      <c r="I15" s="394">
        <f t="shared" si="1"/>
        <v>0</v>
      </c>
      <c r="J15" s="395">
        <f t="shared" si="2"/>
        <v>0</v>
      </c>
      <c r="K15" s="388">
        <f>SUM(I15:J15)</f>
        <v>0</v>
      </c>
      <c r="L15" s="384">
        <f t="shared" si="5"/>
      </c>
      <c r="M15" s="402">
        <f t="shared" si="6"/>
      </c>
      <c r="N15" s="413">
        <f t="shared" si="7"/>
      </c>
      <c r="O15" s="404"/>
      <c r="U15" s="504">
        <f t="shared" si="8"/>
        <v>0</v>
      </c>
      <c r="V15" s="505">
        <f t="shared" si="4"/>
        <v>1</v>
      </c>
    </row>
    <row r="16" spans="1:22" s="4" customFormat="1" ht="13.5">
      <c r="A16" s="422"/>
      <c r="B16" s="425"/>
      <c r="C16" s="425"/>
      <c r="D16" s="425"/>
      <c r="E16" s="425"/>
      <c r="F16" s="425"/>
      <c r="G16" s="425"/>
      <c r="H16" s="335">
        <f t="shared" si="0"/>
      </c>
      <c r="I16" s="510">
        <f t="shared" si="1"/>
        <v>0</v>
      </c>
      <c r="J16" s="511">
        <f t="shared" si="2"/>
        <v>0</v>
      </c>
      <c r="K16" s="389">
        <f>SUM(I16:J16)</f>
        <v>0</v>
      </c>
      <c r="L16" s="512">
        <f t="shared" si="5"/>
      </c>
      <c r="M16" s="513">
        <f t="shared" si="6"/>
      </c>
      <c r="N16" s="514">
        <f t="shared" si="7"/>
      </c>
      <c r="O16" s="404"/>
      <c r="U16" s="504">
        <f t="shared" si="8"/>
        <v>0</v>
      </c>
      <c r="V16" s="505">
        <f t="shared" si="4"/>
        <v>1</v>
      </c>
    </row>
    <row r="17" spans="1:22" s="4" customFormat="1" ht="15">
      <c r="A17" s="506" t="s">
        <v>338</v>
      </c>
      <c r="B17" s="507"/>
      <c r="C17" s="507"/>
      <c r="D17" s="507"/>
      <c r="E17" s="507"/>
      <c r="F17" s="507"/>
      <c r="G17" s="507"/>
      <c r="H17" s="507"/>
      <c r="I17" s="508"/>
      <c r="J17" s="508"/>
      <c r="K17" s="509"/>
      <c r="L17" s="383">
        <v>0</v>
      </c>
      <c r="M17" s="403">
        <v>0</v>
      </c>
      <c r="N17" s="403">
        <v>0</v>
      </c>
      <c r="O17" s="369"/>
      <c r="U17" s="504"/>
      <c r="V17" s="505"/>
    </row>
    <row r="18" spans="1:23" ht="13.5">
      <c r="A18" s="422"/>
      <c r="B18" s="423"/>
      <c r="C18" s="423"/>
      <c r="D18" s="423"/>
      <c r="E18" s="423"/>
      <c r="F18" s="423"/>
      <c r="G18" s="426" t="s">
        <v>170</v>
      </c>
      <c r="H18" s="288">
        <f>IF(D18="","","EER")</f>
      </c>
      <c r="I18" s="398">
        <f>IF(F18&gt;=11,D18*E18*50,"0")*1</f>
        <v>0</v>
      </c>
      <c r="J18" s="397">
        <f aca="true" t="shared" si="9" ref="J18:J27">IF(F18&gt;11,F18-$E$45,"0")/0.1*(4*D18*E18)</f>
        <v>0</v>
      </c>
      <c r="K18" s="388">
        <f>SUM(I18:J18)</f>
        <v>0</v>
      </c>
      <c r="L18" s="489">
        <f>IF(D18=0,"",((D18/1.25)*1100*12000*E18)*(1/10.8-1/13)*1/1000)</f>
      </c>
      <c r="M18" s="402">
        <f>IF(D18=0,"",L18*0.06)</f>
      </c>
      <c r="N18" s="413">
        <f>IF(D18=0,"",((D18/1.25)*0.9*12000*E18)*(1/8.8-1/F18)*1/1000)</f>
      </c>
      <c r="O18" s="369"/>
      <c r="P18" s="4"/>
      <c r="Q18" s="4"/>
      <c r="R18" s="4"/>
      <c r="S18" s="4"/>
      <c r="T18" s="4"/>
      <c r="U18" s="504"/>
      <c r="V18" s="505"/>
      <c r="W18" s="4"/>
    </row>
    <row r="19" spans="1:23" ht="12.75" customHeight="1">
      <c r="A19" s="422"/>
      <c r="B19" s="427"/>
      <c r="C19" s="427"/>
      <c r="D19" s="427"/>
      <c r="E19" s="427"/>
      <c r="F19" s="427"/>
      <c r="G19" s="426" t="s">
        <v>170</v>
      </c>
      <c r="H19" s="287">
        <f aca="true" t="shared" si="10" ref="H19:H27">IF(D19="","","EER")</f>
      </c>
      <c r="I19" s="399">
        <f aca="true" t="shared" si="11" ref="I19:I27">IF(F19&gt;=11,D19*E19*50,"0")*1</f>
        <v>0</v>
      </c>
      <c r="J19" s="396">
        <f t="shared" si="9"/>
        <v>0</v>
      </c>
      <c r="K19" s="387">
        <f>SUM(I19:J19)</f>
        <v>0</v>
      </c>
      <c r="L19" s="489">
        <f aca="true" t="shared" si="12" ref="L19:L27">IF(D19=0,"",((D19/1.25)*1100*12000*E19)*(1/10.8-1/13)*1/1000)</f>
      </c>
      <c r="M19" s="402">
        <f aca="true" t="shared" si="13" ref="M19:M27">IF(D19=0,"",L19*0.06)</f>
      </c>
      <c r="N19" s="413">
        <f aca="true" t="shared" si="14" ref="N19:N27">IF(D19=0,"",((D19/1.25)*0.9*12000*E19)*(1/8.8-1/F19)*1/1000)</f>
      </c>
      <c r="O19" s="369"/>
      <c r="P19" s="4"/>
      <c r="Q19" s="4"/>
      <c r="R19" s="4"/>
      <c r="S19" s="4"/>
      <c r="T19" s="4"/>
      <c r="U19" s="504"/>
      <c r="V19" s="505"/>
      <c r="W19" s="4"/>
    </row>
    <row r="20" spans="1:23" ht="13.5">
      <c r="A20" s="422"/>
      <c r="B20" s="424"/>
      <c r="C20" s="424"/>
      <c r="D20" s="424"/>
      <c r="E20" s="424"/>
      <c r="F20" s="424"/>
      <c r="G20" s="426" t="s">
        <v>170</v>
      </c>
      <c r="H20" s="287">
        <f t="shared" si="10"/>
      </c>
      <c r="I20" s="399">
        <f t="shared" si="11"/>
        <v>0</v>
      </c>
      <c r="J20" s="396">
        <f t="shared" si="9"/>
        <v>0</v>
      </c>
      <c r="K20" s="387">
        <f>SUM(I20:J20)</f>
        <v>0</v>
      </c>
      <c r="L20" s="489">
        <f t="shared" si="12"/>
      </c>
      <c r="M20" s="402">
        <f t="shared" si="13"/>
      </c>
      <c r="N20" s="413">
        <f t="shared" si="14"/>
      </c>
      <c r="O20" s="369"/>
      <c r="P20" s="4"/>
      <c r="Q20" s="4"/>
      <c r="R20" s="4"/>
      <c r="S20" s="4"/>
      <c r="T20" s="4"/>
      <c r="U20" s="504"/>
      <c r="V20" s="505"/>
      <c r="W20" s="4"/>
    </row>
    <row r="21" spans="1:23" ht="13.5">
      <c r="A21" s="422"/>
      <c r="B21" s="424"/>
      <c r="C21" s="424"/>
      <c r="D21" s="424"/>
      <c r="E21" s="424"/>
      <c r="F21" s="424"/>
      <c r="G21" s="426" t="s">
        <v>170</v>
      </c>
      <c r="H21" s="287">
        <f t="shared" si="10"/>
      </c>
      <c r="I21" s="399">
        <f t="shared" si="11"/>
        <v>0</v>
      </c>
      <c r="J21" s="396">
        <f t="shared" si="9"/>
        <v>0</v>
      </c>
      <c r="K21" s="387">
        <f>SUM(I21:J21)</f>
        <v>0</v>
      </c>
      <c r="L21" s="489">
        <f t="shared" si="12"/>
      </c>
      <c r="M21" s="402">
        <f t="shared" si="13"/>
      </c>
      <c r="N21" s="413">
        <f t="shared" si="14"/>
      </c>
      <c r="O21" s="369"/>
      <c r="P21" s="4"/>
      <c r="Q21" s="4"/>
      <c r="R21" s="4"/>
      <c r="S21" s="4"/>
      <c r="T21" s="4"/>
      <c r="U21" s="504"/>
      <c r="V21" s="505"/>
      <c r="W21" s="4"/>
    </row>
    <row r="22" spans="1:23" ht="13.5">
      <c r="A22" s="422"/>
      <c r="B22" s="428"/>
      <c r="C22" s="424"/>
      <c r="D22" s="424"/>
      <c r="E22" s="424"/>
      <c r="F22" s="424"/>
      <c r="G22" s="426" t="s">
        <v>170</v>
      </c>
      <c r="H22" s="287">
        <f t="shared" si="10"/>
      </c>
      <c r="I22" s="399">
        <f t="shared" si="11"/>
        <v>0</v>
      </c>
      <c r="J22" s="396">
        <f t="shared" si="9"/>
        <v>0</v>
      </c>
      <c r="K22" s="387">
        <f aca="true" t="shared" si="15" ref="K22:K27">SUM(I22:J22)</f>
        <v>0</v>
      </c>
      <c r="L22" s="489">
        <f t="shared" si="12"/>
      </c>
      <c r="M22" s="402">
        <f t="shared" si="13"/>
      </c>
      <c r="N22" s="413">
        <f t="shared" si="14"/>
      </c>
      <c r="O22" s="369"/>
      <c r="P22" s="4"/>
      <c r="Q22" s="4"/>
      <c r="R22" s="4"/>
      <c r="S22" s="4"/>
      <c r="T22" s="4"/>
      <c r="U22" s="504"/>
      <c r="V22" s="505"/>
      <c r="W22" s="4"/>
    </row>
    <row r="23" spans="1:23" ht="13.5">
      <c r="A23" s="422"/>
      <c r="B23" s="428"/>
      <c r="C23" s="424"/>
      <c r="D23" s="424"/>
      <c r="E23" s="424"/>
      <c r="F23" s="424"/>
      <c r="G23" s="426" t="s">
        <v>170</v>
      </c>
      <c r="H23" s="287">
        <f t="shared" si="10"/>
      </c>
      <c r="I23" s="399">
        <f t="shared" si="11"/>
        <v>0</v>
      </c>
      <c r="J23" s="396">
        <f t="shared" si="9"/>
        <v>0</v>
      </c>
      <c r="K23" s="387">
        <f t="shared" si="15"/>
        <v>0</v>
      </c>
      <c r="L23" s="489">
        <f t="shared" si="12"/>
      </c>
      <c r="M23" s="402">
        <f t="shared" si="13"/>
      </c>
      <c r="N23" s="413">
        <f t="shared" si="14"/>
      </c>
      <c r="O23" s="369"/>
      <c r="P23" s="4"/>
      <c r="Q23" s="4"/>
      <c r="R23" s="4"/>
      <c r="S23" s="4"/>
      <c r="T23" s="4"/>
      <c r="U23" s="504"/>
      <c r="V23" s="505"/>
      <c r="W23" s="4"/>
    </row>
    <row r="24" spans="1:23" ht="13.5">
      <c r="A24" s="422"/>
      <c r="B24" s="428"/>
      <c r="C24" s="424"/>
      <c r="D24" s="424"/>
      <c r="E24" s="424"/>
      <c r="F24" s="424"/>
      <c r="G24" s="426" t="s">
        <v>170</v>
      </c>
      <c r="H24" s="287">
        <f t="shared" si="10"/>
      </c>
      <c r="I24" s="399">
        <f t="shared" si="11"/>
        <v>0</v>
      </c>
      <c r="J24" s="396">
        <f t="shared" si="9"/>
        <v>0</v>
      </c>
      <c r="K24" s="387">
        <f t="shared" si="15"/>
        <v>0</v>
      </c>
      <c r="L24" s="489">
        <f t="shared" si="12"/>
      </c>
      <c r="M24" s="402">
        <f t="shared" si="13"/>
      </c>
      <c r="N24" s="413">
        <f t="shared" si="14"/>
      </c>
      <c r="O24" s="369"/>
      <c r="P24" s="4"/>
      <c r="Q24" s="4"/>
      <c r="R24" s="4"/>
      <c r="S24" s="4"/>
      <c r="T24" s="4"/>
      <c r="U24" s="504"/>
      <c r="V24" s="505"/>
      <c r="W24" s="4"/>
    </row>
    <row r="25" spans="1:23" ht="13.5">
      <c r="A25" s="422"/>
      <c r="B25" s="428"/>
      <c r="C25" s="424"/>
      <c r="D25" s="424"/>
      <c r="E25" s="424"/>
      <c r="F25" s="424"/>
      <c r="G25" s="426" t="s">
        <v>170</v>
      </c>
      <c r="H25" s="287">
        <f t="shared" si="10"/>
      </c>
      <c r="I25" s="399">
        <f t="shared" si="11"/>
        <v>0</v>
      </c>
      <c r="J25" s="396">
        <f t="shared" si="9"/>
        <v>0</v>
      </c>
      <c r="K25" s="387">
        <f t="shared" si="15"/>
        <v>0</v>
      </c>
      <c r="L25" s="489">
        <f t="shared" si="12"/>
      </c>
      <c r="M25" s="402">
        <f t="shared" si="13"/>
      </c>
      <c r="N25" s="413">
        <f t="shared" si="14"/>
      </c>
      <c r="O25" s="369"/>
      <c r="P25" s="4"/>
      <c r="Q25" s="4"/>
      <c r="R25" s="4"/>
      <c r="S25" s="4"/>
      <c r="T25" s="4"/>
      <c r="U25" s="504"/>
      <c r="V25" s="505"/>
      <c r="W25" s="4"/>
    </row>
    <row r="26" spans="1:23" ht="12.75" customHeight="1">
      <c r="A26" s="422"/>
      <c r="B26" s="427"/>
      <c r="C26" s="427"/>
      <c r="D26" s="427"/>
      <c r="E26" s="427"/>
      <c r="F26" s="427"/>
      <c r="G26" s="426" t="s">
        <v>170</v>
      </c>
      <c r="H26" s="287">
        <f t="shared" si="10"/>
      </c>
      <c r="I26" s="399">
        <f t="shared" si="11"/>
        <v>0</v>
      </c>
      <c r="J26" s="396">
        <f t="shared" si="9"/>
        <v>0</v>
      </c>
      <c r="K26" s="387">
        <f t="shared" si="15"/>
        <v>0</v>
      </c>
      <c r="L26" s="489">
        <f t="shared" si="12"/>
      </c>
      <c r="M26" s="402">
        <f t="shared" si="13"/>
      </c>
      <c r="N26" s="413">
        <f t="shared" si="14"/>
      </c>
      <c r="O26" s="369"/>
      <c r="P26" s="4"/>
      <c r="Q26" s="4"/>
      <c r="R26" s="4"/>
      <c r="S26" s="4"/>
      <c r="T26" s="4"/>
      <c r="U26" s="504"/>
      <c r="V26" s="505"/>
      <c r="W26" s="4"/>
    </row>
    <row r="27" spans="1:23" ht="12.75" customHeight="1">
      <c r="A27" s="422"/>
      <c r="B27" s="429"/>
      <c r="C27" s="429"/>
      <c r="D27" s="429"/>
      <c r="E27" s="429"/>
      <c r="F27" s="429"/>
      <c r="G27" s="426" t="s">
        <v>170</v>
      </c>
      <c r="H27" s="289">
        <f t="shared" si="10"/>
      </c>
      <c r="I27" s="400">
        <f t="shared" si="11"/>
        <v>0</v>
      </c>
      <c r="J27" s="401">
        <f t="shared" si="9"/>
        <v>0</v>
      </c>
      <c r="K27" s="390">
        <f t="shared" si="15"/>
        <v>0</v>
      </c>
      <c r="L27" s="489">
        <f t="shared" si="12"/>
      </c>
      <c r="M27" s="402">
        <f t="shared" si="13"/>
      </c>
      <c r="N27" s="413">
        <f t="shared" si="14"/>
      </c>
      <c r="O27" s="405"/>
      <c r="P27" s="4"/>
      <c r="Q27" s="4"/>
      <c r="R27" s="4"/>
      <c r="S27" s="4"/>
      <c r="T27" s="4"/>
      <c r="U27" s="504"/>
      <c r="V27" s="505"/>
      <c r="W27" s="4"/>
    </row>
    <row r="28" spans="1:23" ht="30.75" customHeight="1">
      <c r="A28" s="132" t="s">
        <v>98</v>
      </c>
      <c r="B28" s="132"/>
      <c r="C28" s="132"/>
      <c r="D28" s="132"/>
      <c r="E28" s="132"/>
      <c r="F28" s="132"/>
      <c r="G28" s="625" t="s">
        <v>99</v>
      </c>
      <c r="H28" s="625" t="s">
        <v>100</v>
      </c>
      <c r="I28" s="132"/>
      <c r="J28" s="132"/>
      <c r="K28" s="132"/>
      <c r="L28" s="132"/>
      <c r="M28" s="132"/>
      <c r="N28" s="132"/>
      <c r="O28" s="4"/>
      <c r="P28" s="4"/>
      <c r="Q28" s="4"/>
      <c r="R28" s="4"/>
      <c r="S28" s="4"/>
      <c r="T28" s="4"/>
      <c r="U28" s="4"/>
      <c r="V28" s="4"/>
      <c r="W28" s="4"/>
    </row>
    <row r="29" spans="1:23" ht="22.5" customHeight="1" thickBot="1">
      <c r="A29" s="855" t="s">
        <v>101</v>
      </c>
      <c r="B29" s="855"/>
      <c r="C29" s="855"/>
      <c r="D29" s="855"/>
      <c r="E29" s="855"/>
      <c r="F29" s="855"/>
      <c r="G29" s="626">
        <v>75</v>
      </c>
      <c r="H29" s="627"/>
      <c r="I29" s="628">
        <f>G29*H29</f>
        <v>0</v>
      </c>
      <c r="J29" s="636"/>
      <c r="K29" s="636"/>
      <c r="L29" s="629">
        <f>IF(H29="","",H29*800)</f>
      </c>
      <c r="M29" s="513">
        <f>IF(H29="","",L29*0.05)</f>
      </c>
      <c r="N29" s="636"/>
      <c r="O29" s="4"/>
      <c r="P29" s="4"/>
      <c r="Q29" s="4"/>
      <c r="R29" s="4"/>
      <c r="S29" s="4"/>
      <c r="T29" s="4"/>
      <c r="U29" s="4"/>
      <c r="V29" s="4"/>
      <c r="W29" s="4"/>
    </row>
    <row r="30" spans="1:23" ht="23.25" customHeight="1" thickBot="1">
      <c r="A30" s="13"/>
      <c r="B30" s="407" t="str">
        <f>IF('Page 10-Request for Payment'!C18&gt;1000,"Needs Pre-Approval, see Page 2 for details."," ")</f>
        <v> </v>
      </c>
      <c r="C30" s="408"/>
      <c r="D30" s="409"/>
      <c r="E30" s="409"/>
      <c r="F30" s="410"/>
      <c r="G30" s="408"/>
      <c r="H30" s="286" t="s">
        <v>459</v>
      </c>
      <c r="I30" s="630">
        <f>SUM(I7:I29)</f>
        <v>0</v>
      </c>
      <c r="J30" s="631">
        <f>SUM(J7:J27)</f>
        <v>0</v>
      </c>
      <c r="K30" s="632">
        <f>SUM(I30:J30)+I29</f>
        <v>0</v>
      </c>
      <c r="L30" s="633">
        <f>SUM(L7:L29)</f>
        <v>0</v>
      </c>
      <c r="M30" s="634">
        <f>SUM(M9:M29)</f>
        <v>0</v>
      </c>
      <c r="N30" s="635">
        <f>SUM(N7:N27)</f>
        <v>0</v>
      </c>
      <c r="O30" s="405"/>
      <c r="P30" s="4"/>
      <c r="Q30" s="4"/>
      <c r="R30" s="4"/>
      <c r="S30" s="4"/>
      <c r="T30" s="4"/>
      <c r="U30" s="4"/>
      <c r="V30" s="4"/>
      <c r="W30" s="4"/>
    </row>
    <row r="31" spans="1:23" ht="9" customHeight="1">
      <c r="A31" s="13"/>
      <c r="B31" s="13"/>
      <c r="C31" s="13"/>
      <c r="D31" s="13"/>
      <c r="E31" s="13"/>
      <c r="F31" s="13"/>
      <c r="G31" s="13"/>
      <c r="H31" s="218"/>
      <c r="I31" s="232"/>
      <c r="J31" s="232"/>
      <c r="K31" s="233"/>
      <c r="O31" s="4"/>
      <c r="P31" s="4"/>
      <c r="Q31" s="4"/>
      <c r="R31" s="4"/>
      <c r="S31" s="4"/>
      <c r="T31" s="4"/>
      <c r="U31" s="4"/>
      <c r="V31" s="4"/>
      <c r="W31" s="4"/>
    </row>
    <row r="32" spans="1:23" ht="30" customHeight="1">
      <c r="A32" s="13" t="s">
        <v>289</v>
      </c>
      <c r="B32" s="13"/>
      <c r="C32" s="13"/>
      <c r="D32" s="13"/>
      <c r="E32" s="13"/>
      <c r="F32" s="13"/>
      <c r="G32" s="13"/>
      <c r="H32" s="44"/>
      <c r="I32" s="217"/>
      <c r="J32" s="217"/>
      <c r="K32" s="290"/>
      <c r="L32" s="533"/>
      <c r="M32" s="533"/>
      <c r="N32" s="533"/>
      <c r="O32" s="4"/>
      <c r="P32" s="4"/>
      <c r="Q32" s="4"/>
      <c r="R32" s="4"/>
      <c r="S32" s="4"/>
      <c r="T32" s="4"/>
      <c r="U32" s="4"/>
      <c r="V32" s="4"/>
      <c r="W32" s="4"/>
    </row>
    <row r="33" spans="1:23" ht="4.5" customHeight="1">
      <c r="A33" s="13"/>
      <c r="B33" s="13"/>
      <c r="C33" s="13"/>
      <c r="D33" s="13"/>
      <c r="E33" s="13"/>
      <c r="F33" s="13"/>
      <c r="G33" s="13"/>
      <c r="H33" s="44"/>
      <c r="I33" s="217"/>
      <c r="J33" s="217"/>
      <c r="K33" s="290"/>
      <c r="L33" s="533"/>
      <c r="M33" s="533"/>
      <c r="N33" s="533"/>
      <c r="O33" s="4"/>
      <c r="P33" s="4"/>
      <c r="Q33" s="4"/>
      <c r="R33" s="4"/>
      <c r="S33" s="4"/>
      <c r="T33" s="4"/>
      <c r="U33" s="4"/>
      <c r="V33" s="4"/>
      <c r="W33" s="4"/>
    </row>
    <row r="34" spans="1:23" ht="15.75" customHeight="1">
      <c r="A34" s="279" t="s">
        <v>232</v>
      </c>
      <c r="B34" s="13"/>
      <c r="C34" s="13"/>
      <c r="D34" s="13"/>
      <c r="E34" s="13"/>
      <c r="F34" s="13"/>
      <c r="G34" s="13"/>
      <c r="H34" s="44"/>
      <c r="I34" s="217"/>
      <c r="J34" s="217"/>
      <c r="K34" s="290"/>
      <c r="O34" s="4"/>
      <c r="P34" s="4"/>
      <c r="Q34" s="4"/>
      <c r="R34" s="4"/>
      <c r="S34" s="4"/>
      <c r="T34" s="4"/>
      <c r="U34" s="4"/>
      <c r="V34" s="4"/>
      <c r="W34" s="4"/>
    </row>
    <row r="35" spans="1:23" s="637" customFormat="1" ht="24.75" customHeight="1">
      <c r="A35" s="856" t="s">
        <v>173</v>
      </c>
      <c r="B35" s="856"/>
      <c r="C35" s="856"/>
      <c r="D35" s="856"/>
      <c r="E35" s="856"/>
      <c r="F35" s="856"/>
      <c r="G35" s="856"/>
      <c r="H35" s="856"/>
      <c r="I35" s="856"/>
      <c r="J35" s="856"/>
      <c r="K35" s="856"/>
      <c r="L35" s="856"/>
      <c r="M35" s="856"/>
      <c r="N35" s="856"/>
      <c r="O35" s="638"/>
      <c r="P35" s="638"/>
      <c r="Q35" s="638"/>
      <c r="R35" s="638"/>
      <c r="S35" s="638"/>
      <c r="T35" s="638"/>
      <c r="U35" s="638"/>
      <c r="V35" s="638"/>
      <c r="W35" s="638"/>
    </row>
    <row r="36" spans="1:23" ht="35.25" customHeight="1">
      <c r="A36" s="856" t="s">
        <v>174</v>
      </c>
      <c r="B36" s="856"/>
      <c r="C36" s="856"/>
      <c r="D36" s="856"/>
      <c r="E36" s="856"/>
      <c r="F36" s="856"/>
      <c r="G36" s="856"/>
      <c r="H36" s="856"/>
      <c r="I36" s="856"/>
      <c r="J36" s="856"/>
      <c r="K36" s="856"/>
      <c r="L36" s="856"/>
      <c r="M36" s="856"/>
      <c r="N36" s="856"/>
      <c r="O36" s="4"/>
      <c r="P36" s="4"/>
      <c r="Q36" s="4"/>
      <c r="R36" s="4"/>
      <c r="S36" s="4"/>
      <c r="T36" s="4"/>
      <c r="U36" s="4"/>
      <c r="V36" s="4"/>
      <c r="W36" s="4"/>
    </row>
    <row r="37" spans="1:23" ht="18.75" thickBot="1">
      <c r="A37" s="13"/>
      <c r="B37" s="13"/>
      <c r="C37" s="13"/>
      <c r="D37" s="13"/>
      <c r="E37" s="13"/>
      <c r="F37" s="13"/>
      <c r="G37" s="13"/>
      <c r="H37" s="44"/>
      <c r="I37" s="217"/>
      <c r="J37" s="217"/>
      <c r="K37" s="290"/>
      <c r="O37" s="4"/>
      <c r="P37" s="4"/>
      <c r="Q37" s="4"/>
      <c r="R37" s="4"/>
      <c r="S37" s="4"/>
      <c r="T37" s="4"/>
      <c r="U37" s="4"/>
      <c r="V37" s="4"/>
      <c r="W37" s="4"/>
    </row>
    <row r="38" spans="1:23" ht="13.5" thickTop="1">
      <c r="A38" s="291" t="s">
        <v>281</v>
      </c>
      <c r="B38" s="292"/>
      <c r="C38" s="292"/>
      <c r="D38" s="292"/>
      <c r="E38" s="293"/>
      <c r="F38" s="294"/>
      <c r="G38" s="293"/>
      <c r="H38" s="293"/>
      <c r="I38" s="293"/>
      <c r="J38" s="305"/>
      <c r="O38" s="4"/>
      <c r="P38" s="4"/>
      <c r="Q38" s="4"/>
      <c r="R38" s="4"/>
      <c r="S38" s="4"/>
      <c r="T38" s="4"/>
      <c r="U38" s="4"/>
      <c r="V38" s="4"/>
      <c r="W38" s="4"/>
    </row>
    <row r="39" spans="1:23" ht="24">
      <c r="A39" s="309" t="s">
        <v>460</v>
      </c>
      <c r="B39" s="310" t="s">
        <v>461</v>
      </c>
      <c r="C39" s="310" t="s">
        <v>279</v>
      </c>
      <c r="D39" s="310" t="s">
        <v>462</v>
      </c>
      <c r="E39" s="310" t="s">
        <v>278</v>
      </c>
      <c r="F39" s="859" t="s">
        <v>280</v>
      </c>
      <c r="G39" s="859"/>
      <c r="H39" s="853" t="s">
        <v>452</v>
      </c>
      <c r="I39" s="853"/>
      <c r="J39" s="854"/>
      <c r="O39" s="4"/>
      <c r="P39" s="4"/>
      <c r="Q39" s="4"/>
      <c r="R39" s="4"/>
      <c r="S39" s="4"/>
      <c r="T39" s="4"/>
      <c r="U39" s="4"/>
      <c r="V39" s="4"/>
      <c r="W39" s="4"/>
    </row>
    <row r="40" spans="1:23" ht="12">
      <c r="A40" s="295">
        <v>1</v>
      </c>
      <c r="B40" s="297">
        <v>0</v>
      </c>
      <c r="C40" s="297">
        <v>64999</v>
      </c>
      <c r="D40" s="297">
        <v>14</v>
      </c>
      <c r="E40" s="297">
        <v>12</v>
      </c>
      <c r="F40" s="860">
        <v>65</v>
      </c>
      <c r="G40" s="860"/>
      <c r="H40" s="296" t="s">
        <v>56</v>
      </c>
      <c r="I40" s="296"/>
      <c r="J40" s="306"/>
      <c r="O40" s="4"/>
      <c r="P40" s="4"/>
      <c r="Q40" s="4"/>
      <c r="R40" s="4"/>
      <c r="S40" s="4"/>
      <c r="T40" s="4"/>
      <c r="U40" s="4"/>
      <c r="V40" s="4"/>
      <c r="W40" s="4"/>
    </row>
    <row r="41" spans="1:23" ht="12.75" customHeight="1">
      <c r="A41" s="295">
        <v>2</v>
      </c>
      <c r="B41" s="297">
        <v>65000</v>
      </c>
      <c r="C41" s="297">
        <v>134999</v>
      </c>
      <c r="D41" s="297">
        <v>0</v>
      </c>
      <c r="E41" s="297">
        <v>11</v>
      </c>
      <c r="F41" s="852">
        <v>50</v>
      </c>
      <c r="G41" s="852"/>
      <c r="H41" s="296" t="s">
        <v>463</v>
      </c>
      <c r="I41" s="296"/>
      <c r="J41" s="306"/>
      <c r="O41" s="4"/>
      <c r="P41" s="4"/>
      <c r="Q41" s="4"/>
      <c r="R41" s="4"/>
      <c r="S41" s="4"/>
      <c r="T41" s="4"/>
      <c r="U41" s="4"/>
      <c r="V41" s="4"/>
      <c r="W41" s="4"/>
    </row>
    <row r="42" spans="1:23" ht="13.5" customHeight="1">
      <c r="A42" s="295">
        <v>3</v>
      </c>
      <c r="B42" s="297">
        <v>135000</v>
      </c>
      <c r="C42" s="297">
        <v>239999</v>
      </c>
      <c r="D42" s="297">
        <v>0</v>
      </c>
      <c r="E42" s="297">
        <v>10.8</v>
      </c>
      <c r="F42" s="852">
        <v>50</v>
      </c>
      <c r="G42" s="852"/>
      <c r="H42" s="296" t="s">
        <v>464</v>
      </c>
      <c r="I42" s="296"/>
      <c r="J42" s="306"/>
      <c r="O42" s="4"/>
      <c r="P42" s="4"/>
      <c r="Q42" s="4"/>
      <c r="R42" s="4"/>
      <c r="S42" s="4"/>
      <c r="T42" s="4"/>
      <c r="U42" s="4"/>
      <c r="V42" s="4"/>
      <c r="W42" s="4"/>
    </row>
    <row r="43" spans="1:23" ht="13.5" customHeight="1">
      <c r="A43" s="295">
        <v>4</v>
      </c>
      <c r="B43" s="297">
        <v>240000</v>
      </c>
      <c r="C43" s="297" t="s">
        <v>465</v>
      </c>
      <c r="D43" s="297">
        <v>0</v>
      </c>
      <c r="E43" s="297">
        <v>10</v>
      </c>
      <c r="F43" s="852">
        <v>50</v>
      </c>
      <c r="G43" s="852"/>
      <c r="H43" s="296" t="s">
        <v>466</v>
      </c>
      <c r="I43" s="296"/>
      <c r="J43" s="306"/>
      <c r="O43" s="4"/>
      <c r="P43" s="4"/>
      <c r="Q43" s="4"/>
      <c r="R43" s="4"/>
      <c r="S43" s="4"/>
      <c r="T43" s="4"/>
      <c r="U43" s="4"/>
      <c r="V43" s="4"/>
      <c r="W43" s="4"/>
    </row>
    <row r="44" spans="1:23" ht="12.75">
      <c r="A44" s="298" t="s">
        <v>282</v>
      </c>
      <c r="B44" s="299"/>
      <c r="C44" s="299"/>
      <c r="D44" s="299"/>
      <c r="E44" s="299"/>
      <c r="F44" s="299"/>
      <c r="G44" s="311"/>
      <c r="H44" s="300"/>
      <c r="I44" s="300"/>
      <c r="J44" s="307"/>
      <c r="K44" s="536"/>
      <c r="L44" s="536"/>
      <c r="M44" s="536"/>
      <c r="N44" s="536"/>
      <c r="O44" s="4"/>
      <c r="P44" s="4"/>
      <c r="Q44" s="4"/>
      <c r="R44" s="4"/>
      <c r="S44" s="4"/>
      <c r="T44" s="4"/>
      <c r="U44" s="4"/>
      <c r="V44" s="4"/>
      <c r="W44" s="4"/>
    </row>
    <row r="45" spans="1:23" ht="12">
      <c r="A45" s="295">
        <v>5</v>
      </c>
      <c r="B45" s="297">
        <v>0</v>
      </c>
      <c r="C45" s="297" t="s">
        <v>467</v>
      </c>
      <c r="D45" s="297">
        <v>0</v>
      </c>
      <c r="E45" s="297">
        <v>11</v>
      </c>
      <c r="F45" s="852">
        <v>50</v>
      </c>
      <c r="G45" s="852"/>
      <c r="H45" s="296" t="s">
        <v>463</v>
      </c>
      <c r="I45" s="296"/>
      <c r="J45" s="306"/>
      <c r="K45" s="536"/>
      <c r="L45" s="536"/>
      <c r="M45" s="536"/>
      <c r="N45" s="536"/>
      <c r="O45" s="4"/>
      <c r="P45" s="4"/>
      <c r="Q45" s="4"/>
      <c r="R45" s="4"/>
      <c r="S45" s="4"/>
      <c r="T45" s="4"/>
      <c r="U45" s="4"/>
      <c r="V45" s="4"/>
      <c r="W45" s="4"/>
    </row>
    <row r="46" spans="1:14" ht="13.5" thickBot="1">
      <c r="A46" s="301"/>
      <c r="B46" s="302"/>
      <c r="C46" s="302"/>
      <c r="D46" s="302"/>
      <c r="E46" s="302"/>
      <c r="F46" s="303"/>
      <c r="G46" s="304"/>
      <c r="H46" s="304"/>
      <c r="I46" s="304"/>
      <c r="J46" s="308"/>
      <c r="K46" s="536"/>
      <c r="L46" s="536"/>
      <c r="M46" s="536"/>
      <c r="N46" s="536"/>
    </row>
    <row r="47" spans="1:14" ht="12.75" thickTop="1">
      <c r="A47" s="52"/>
      <c r="B47" s="13"/>
      <c r="C47" s="13"/>
      <c r="D47" s="13"/>
      <c r="E47" s="13"/>
      <c r="F47" s="13"/>
      <c r="G47" s="13"/>
      <c r="H47" s="13"/>
      <c r="I47" s="13"/>
      <c r="J47" s="13"/>
      <c r="K47" s="639"/>
      <c r="L47" s="536"/>
      <c r="M47" s="536"/>
      <c r="N47" s="536"/>
    </row>
  </sheetData>
  <sheetProtection sheet="1"/>
  <protectedRanges>
    <protectedRange sqref="H29" name="Range2"/>
    <protectedRange sqref="A7:G16 A18:G27" name="Range1"/>
  </protectedRanges>
  <mergeCells count="13">
    <mergeCell ref="L1:N1"/>
    <mergeCell ref="M2:N2"/>
    <mergeCell ref="F39:G39"/>
    <mergeCell ref="F40:G40"/>
    <mergeCell ref="F41:G41"/>
    <mergeCell ref="L3:N3"/>
    <mergeCell ref="F42:G42"/>
    <mergeCell ref="F43:G43"/>
    <mergeCell ref="F45:G45"/>
    <mergeCell ref="H39:J39"/>
    <mergeCell ref="A29:F29"/>
    <mergeCell ref="A36:N36"/>
    <mergeCell ref="A35:N35"/>
  </mergeCells>
  <dataValidations count="1">
    <dataValidation type="list" allowBlank="1" showInputMessage="1" showErrorMessage="1" sqref="A7:A16 A18:A27">
      <formula1>$AG$8:$AG$12</formula1>
    </dataValidation>
  </dataValidations>
  <printOptions/>
  <pageMargins left="0.25" right="0.25" top="0.25" bottom="0.25" header="0.3" footer="0.16"/>
  <pageSetup horizontalDpi="600" verticalDpi="600" orientation="landscape" scale="77"/>
  <headerFooter alignWithMargins="0">
    <oddFooter>&amp;R&amp;8&amp;F</oddFooter>
  </headerFooter>
</worksheet>
</file>

<file path=xl/worksheets/sheet4.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4" sqref="A4"/>
    </sheetView>
  </sheetViews>
  <sheetFormatPr defaultColWidth="8.8515625" defaultRowHeight="73.5" customHeight="1"/>
  <cols>
    <col min="1" max="1" width="15.7109375" style="791" customWidth="1"/>
    <col min="2" max="2" width="6.7109375" style="791" customWidth="1"/>
    <col min="3" max="3" width="11.8515625" style="791" customWidth="1"/>
    <col min="4" max="4" width="33.7109375" style="791" customWidth="1"/>
    <col min="5" max="5" width="17.00390625" style="791" customWidth="1"/>
    <col min="6" max="6" width="17.421875" style="791" customWidth="1"/>
    <col min="7" max="7" width="13.00390625" style="791" customWidth="1"/>
    <col min="8" max="8" width="12.8515625" style="791" customWidth="1"/>
    <col min="9" max="9" width="8.8515625" style="791" customWidth="1"/>
    <col min="10" max="10" width="15.28125" style="791" hidden="1" customWidth="1"/>
    <col min="11" max="16384" width="8.8515625" style="791" customWidth="1"/>
  </cols>
  <sheetData>
    <row r="1" spans="1:8" ht="22.5" customHeight="1">
      <c r="A1" s="125" t="s">
        <v>103</v>
      </c>
      <c r="B1" s="81"/>
      <c r="C1" s="81"/>
      <c r="D1" s="81"/>
      <c r="E1" s="81"/>
      <c r="F1" s="848">
        <f>IF(CompanyName="","",CompanyName)</f>
      </c>
      <c r="G1" s="848"/>
      <c r="H1" s="848"/>
    </row>
    <row r="2" spans="1:8" ht="15.75" customHeight="1">
      <c r="A2" s="262" t="s">
        <v>256</v>
      </c>
      <c r="B2" s="82"/>
      <c r="C2" s="82"/>
      <c r="D2" s="82"/>
      <c r="E2" s="82"/>
      <c r="F2" s="496" t="s">
        <v>283</v>
      </c>
      <c r="G2" s="849">
        <f>IF(ApprovalCode="","",ApprovalCode)</f>
      </c>
      <c r="H2" s="849"/>
    </row>
    <row r="3" spans="1:6" ht="20.25" customHeight="1">
      <c r="A3" s="92" t="s">
        <v>0</v>
      </c>
      <c r="B3" s="35"/>
      <c r="C3" s="35"/>
      <c r="D3" s="35"/>
      <c r="E3" s="6"/>
      <c r="F3" s="6"/>
    </row>
    <row r="4" spans="1:4" ht="8.25" customHeight="1">
      <c r="A4" s="5"/>
      <c r="B4" s="863"/>
      <c r="C4" s="863"/>
      <c r="D4" s="863"/>
    </row>
    <row r="5" spans="1:8" ht="16.5" customHeight="1">
      <c r="A5" s="132" t="s">
        <v>332</v>
      </c>
      <c r="B5" s="155"/>
      <c r="C5" s="155"/>
      <c r="D5" s="155"/>
      <c r="E5" s="155"/>
      <c r="F5" s="155"/>
      <c r="G5" s="155"/>
      <c r="H5" s="155"/>
    </row>
    <row r="6" spans="1:6" ht="12" customHeight="1" thickBot="1">
      <c r="A6" s="213"/>
      <c r="B6" s="214"/>
      <c r="C6" s="214"/>
      <c r="D6" s="214"/>
      <c r="E6" s="214"/>
      <c r="F6" s="214"/>
    </row>
    <row r="7" spans="1:10" ht="49.5" customHeight="1">
      <c r="A7" s="641" t="s">
        <v>491</v>
      </c>
      <c r="B7" s="867" t="s">
        <v>548</v>
      </c>
      <c r="C7" s="868"/>
      <c r="D7" s="641" t="s">
        <v>231</v>
      </c>
      <c r="E7" s="642" t="s">
        <v>230</v>
      </c>
      <c r="F7" s="643" t="s">
        <v>477</v>
      </c>
      <c r="G7" s="644" t="s">
        <v>213</v>
      </c>
      <c r="H7" s="644" t="s">
        <v>212</v>
      </c>
      <c r="J7" s="792" t="s">
        <v>57</v>
      </c>
    </row>
    <row r="8" spans="1:10" ht="44.25" customHeight="1">
      <c r="A8" s="221" t="s">
        <v>553</v>
      </c>
      <c r="B8" s="224">
        <v>0.73</v>
      </c>
      <c r="C8" s="223" t="s">
        <v>549</v>
      </c>
      <c r="D8" s="221" t="s">
        <v>529</v>
      </c>
      <c r="E8" s="485"/>
      <c r="F8" s="334">
        <f>IF(ISBLANK(E8),"",B8*E8)</f>
      </c>
      <c r="G8" s="487">
        <f>IF(ISBLANK(E8),"",1.38*E8)</f>
      </c>
      <c r="H8" s="381">
        <f>IF(E8=0,"",G8*0.05)</f>
      </c>
      <c r="J8" s="793">
        <f>(5.21-5.01)*E8/1000</f>
        <v>0</v>
      </c>
    </row>
    <row r="9" spans="1:10" ht="45.75" customHeight="1">
      <c r="A9" s="221" t="s">
        <v>530</v>
      </c>
      <c r="B9" s="224">
        <v>0.73</v>
      </c>
      <c r="C9" s="223" t="s">
        <v>549</v>
      </c>
      <c r="D9" s="221" t="s">
        <v>531</v>
      </c>
      <c r="E9" s="485"/>
      <c r="F9" s="334">
        <f>IF(ISBLANK(E9),"",B9*E9)</f>
      </c>
      <c r="G9" s="488">
        <f>IF(ISBLANK(E9),"",2.04*E9)</f>
      </c>
      <c r="H9" s="381">
        <f aca="true" t="shared" si="0" ref="H9:H25">IF(E9=0,"",G9*0.05)</f>
      </c>
      <c r="J9" s="793">
        <f>(5.21-5.01)*E9/1000</f>
        <v>0</v>
      </c>
    </row>
    <row r="10" spans="1:10" ht="20.25" customHeight="1">
      <c r="A10" s="870" t="s">
        <v>554</v>
      </c>
      <c r="B10" s="875">
        <v>0.06</v>
      </c>
      <c r="C10" s="864" t="s">
        <v>550</v>
      </c>
      <c r="D10" s="221" t="s">
        <v>532</v>
      </c>
      <c r="E10" s="485"/>
      <c r="F10" s="334">
        <f>IF(ISBLANK(E10),"",B10*E10)</f>
      </c>
      <c r="G10" s="488">
        <f>IF(ISBLANK(E10),"",0.13*E10)</f>
      </c>
      <c r="H10" s="381">
        <f t="shared" si="0"/>
      </c>
      <c r="J10" s="793">
        <f>(5.21-5.08)*E10/1000</f>
        <v>0</v>
      </c>
    </row>
    <row r="11" spans="1:10" ht="20.25" customHeight="1">
      <c r="A11" s="871"/>
      <c r="B11" s="876"/>
      <c r="C11" s="865"/>
      <c r="D11" s="221" t="s">
        <v>533</v>
      </c>
      <c r="E11" s="485"/>
      <c r="F11" s="334">
        <f>IF(ISBLANK(E11),"",B10*E11)</f>
      </c>
      <c r="G11" s="488">
        <f>IF(ISBLANK(E11),"",0.13*E11)</f>
      </c>
      <c r="H11" s="381">
        <f t="shared" si="0"/>
      </c>
      <c r="J11" s="793">
        <f>(5.21-5.08)*E11/1000</f>
        <v>0</v>
      </c>
    </row>
    <row r="12" spans="1:10" ht="20.25" customHeight="1">
      <c r="A12" s="872"/>
      <c r="B12" s="877"/>
      <c r="C12" s="866"/>
      <c r="D12" s="222" t="s">
        <v>534</v>
      </c>
      <c r="E12" s="486"/>
      <c r="F12" s="334">
        <f>IF(ISBLANK(E12),"",B10*E12)</f>
      </c>
      <c r="G12" s="488">
        <f>IF(ISBLANK(E12),"",0.13*E12)</f>
      </c>
      <c r="H12" s="381">
        <f t="shared" si="0"/>
      </c>
      <c r="J12" s="793">
        <f>(5.21-5.08)*E12/1000</f>
        <v>0</v>
      </c>
    </row>
    <row r="13" spans="1:10" ht="20.25" customHeight="1">
      <c r="A13" s="870" t="s">
        <v>555</v>
      </c>
      <c r="B13" s="875">
        <v>0.16</v>
      </c>
      <c r="C13" s="864" t="s">
        <v>550</v>
      </c>
      <c r="D13" s="221" t="s">
        <v>535</v>
      </c>
      <c r="E13" s="485"/>
      <c r="F13" s="334">
        <f>IF(ISBLANK(E13),"",B13*E13)</f>
      </c>
      <c r="G13" s="488">
        <f>IF(ISBLANK(E13),"",0.31*E13)</f>
      </c>
      <c r="H13" s="381">
        <f t="shared" si="0"/>
      </c>
      <c r="J13" s="793">
        <f>(5.21-4.9)*E13/1000</f>
        <v>0</v>
      </c>
    </row>
    <row r="14" spans="1:10" ht="20.25" customHeight="1">
      <c r="A14" s="871"/>
      <c r="B14" s="876"/>
      <c r="C14" s="865"/>
      <c r="D14" s="221" t="s">
        <v>536</v>
      </c>
      <c r="E14" s="485"/>
      <c r="F14" s="334">
        <f>IF(ISBLANK(E14),"",B13*E14)</f>
      </c>
      <c r="G14" s="488">
        <f>IF(ISBLANK(E14),"",0.31*E14)</f>
      </c>
      <c r="H14" s="381">
        <f t="shared" si="0"/>
      </c>
      <c r="J14" s="793">
        <f>(5.21-4.9)*E14/1000</f>
        <v>0</v>
      </c>
    </row>
    <row r="15" spans="1:10" ht="20.25" customHeight="1">
      <c r="A15" s="872"/>
      <c r="B15" s="877"/>
      <c r="C15" s="866"/>
      <c r="D15" s="222" t="s">
        <v>537</v>
      </c>
      <c r="E15" s="486"/>
      <c r="F15" s="334">
        <f>IF(ISBLANK(E15),"",B13*E15)</f>
      </c>
      <c r="G15" s="488">
        <f>IF(ISBLANK(E15),"",0.31*E15)</f>
      </c>
      <c r="H15" s="381">
        <f t="shared" si="0"/>
      </c>
      <c r="J15" s="793">
        <f>(5.21-4.9)*E15/1000</f>
        <v>0</v>
      </c>
    </row>
    <row r="16" spans="1:10" ht="20.25" customHeight="1">
      <c r="A16" s="870" t="s">
        <v>556</v>
      </c>
      <c r="B16" s="875">
        <v>0.02</v>
      </c>
      <c r="C16" s="864" t="s">
        <v>551</v>
      </c>
      <c r="D16" s="221" t="s">
        <v>538</v>
      </c>
      <c r="E16" s="485"/>
      <c r="F16" s="334">
        <f>IF(ISBLANK(E16),"",B16*E16)</f>
      </c>
      <c r="G16" s="488">
        <f>IF(ISBLANK(E16),"",0.02*E16)</f>
      </c>
      <c r="H16" s="381">
        <f t="shared" si="0"/>
      </c>
      <c r="J16" s="793">
        <f>(5.21-5.19)*E16/1000</f>
        <v>0</v>
      </c>
    </row>
    <row r="17" spans="1:10" ht="20.25" customHeight="1">
      <c r="A17" s="871"/>
      <c r="B17" s="876"/>
      <c r="C17" s="865"/>
      <c r="D17" s="221" t="s">
        <v>539</v>
      </c>
      <c r="E17" s="485"/>
      <c r="F17" s="334">
        <f>IF(ISBLANK(E17),"",B16*E17)</f>
      </c>
      <c r="G17" s="488">
        <f>IF(ISBLANK(E17),"",0.02*E17)</f>
      </c>
      <c r="H17" s="381">
        <f t="shared" si="0"/>
      </c>
      <c r="J17" s="793">
        <f>(5.21-5.19)*E17/1000</f>
        <v>0</v>
      </c>
    </row>
    <row r="18" spans="1:10" ht="20.25" customHeight="1">
      <c r="A18" s="871"/>
      <c r="B18" s="876"/>
      <c r="C18" s="865"/>
      <c r="D18" s="221" t="s">
        <v>540</v>
      </c>
      <c r="E18" s="485"/>
      <c r="F18" s="334">
        <f>IF(ISBLANK(E18),"",B16*E18)</f>
      </c>
      <c r="G18" s="488">
        <f>IF(ISBLANK(E18),"",0.02*E18)</f>
      </c>
      <c r="H18" s="381">
        <f t="shared" si="0"/>
      </c>
      <c r="J18" s="793">
        <f>(5.21-5.19)*E18/1000</f>
        <v>0</v>
      </c>
    </row>
    <row r="19" spans="1:10" ht="20.25" customHeight="1">
      <c r="A19" s="872"/>
      <c r="B19" s="877"/>
      <c r="C19" s="866"/>
      <c r="D19" s="222" t="s">
        <v>541</v>
      </c>
      <c r="E19" s="486"/>
      <c r="F19" s="334">
        <f>IF(ISBLANK(E19),"",B16*E19)</f>
      </c>
      <c r="G19" s="488">
        <f>IF(ISBLANK(E19),"",0.02*E19)</f>
      </c>
      <c r="H19" s="381">
        <f t="shared" si="0"/>
      </c>
      <c r="J19" s="793">
        <f>(5.21-5.19)*E19/1000</f>
        <v>0</v>
      </c>
    </row>
    <row r="20" spans="1:10" ht="20.25" customHeight="1">
      <c r="A20" s="870" t="s">
        <v>416</v>
      </c>
      <c r="B20" s="875">
        <v>0.03</v>
      </c>
      <c r="C20" s="864" t="s">
        <v>551</v>
      </c>
      <c r="D20" s="221" t="s">
        <v>542</v>
      </c>
      <c r="E20" s="485"/>
      <c r="F20" s="334">
        <f>IF(ISBLANK(E20),"",B20*E20)</f>
      </c>
      <c r="G20" s="488">
        <f>IF(ISBLANK(E20),"",0.04*E20)</f>
      </c>
      <c r="H20" s="381">
        <f t="shared" si="0"/>
      </c>
      <c r="J20" s="793">
        <f>(5.21-5.18)*E20/1000</f>
        <v>0</v>
      </c>
    </row>
    <row r="21" spans="1:10" ht="20.25" customHeight="1">
      <c r="A21" s="871"/>
      <c r="B21" s="876"/>
      <c r="C21" s="865"/>
      <c r="D21" s="221" t="s">
        <v>533</v>
      </c>
      <c r="E21" s="485"/>
      <c r="F21" s="334">
        <f>IF(ISBLANK(E21),"",B20*E21)</f>
      </c>
      <c r="G21" s="488">
        <f>IF(ISBLANK(E21),"",0.04*E21)</f>
      </c>
      <c r="H21" s="381">
        <f t="shared" si="0"/>
      </c>
      <c r="J21" s="793">
        <f>(5.21-5.18)*E21/1000</f>
        <v>0</v>
      </c>
    </row>
    <row r="22" spans="1:10" ht="20.25" customHeight="1">
      <c r="A22" s="871"/>
      <c r="B22" s="876"/>
      <c r="C22" s="865"/>
      <c r="D22" s="221" t="s">
        <v>543</v>
      </c>
      <c r="E22" s="485"/>
      <c r="F22" s="334">
        <f>IF(ISBLANK(E22),"",B20*E22)</f>
      </c>
      <c r="G22" s="488">
        <f>IF(ISBLANK(E22),"",0.04*E22)</f>
      </c>
      <c r="H22" s="381">
        <f t="shared" si="0"/>
      </c>
      <c r="J22" s="793">
        <f>(5.21-5.18)*E22/1000</f>
        <v>0</v>
      </c>
    </row>
    <row r="23" spans="1:10" ht="20.25" customHeight="1">
      <c r="A23" s="872"/>
      <c r="B23" s="877"/>
      <c r="C23" s="866"/>
      <c r="D23" s="222" t="s">
        <v>544</v>
      </c>
      <c r="E23" s="486"/>
      <c r="F23" s="334">
        <f>IF(ISBLANK(E23),"",B20*E23)</f>
      </c>
      <c r="G23" s="488">
        <f>IF(ISBLANK(E23),"",0.04*E23)</f>
      </c>
      <c r="H23" s="381">
        <f t="shared" si="0"/>
      </c>
      <c r="J23" s="793">
        <f>(5.21-5.18)*E23/1000</f>
        <v>0</v>
      </c>
    </row>
    <row r="24" spans="1:10" ht="42" customHeight="1">
      <c r="A24" s="221" t="s">
        <v>545</v>
      </c>
      <c r="B24" s="224">
        <v>0.09</v>
      </c>
      <c r="C24" s="223" t="s">
        <v>550</v>
      </c>
      <c r="D24" s="221" t="s">
        <v>468</v>
      </c>
      <c r="E24" s="485"/>
      <c r="F24" s="334">
        <f>IF(ISBLANK(E24),"",B24*E24)</f>
      </c>
      <c r="G24" s="488">
        <f>IF(ISBLANK(E24),"",0.59*E24)</f>
      </c>
      <c r="H24" s="381">
        <f t="shared" si="0"/>
      </c>
      <c r="J24" s="793">
        <f>(5.21-4.62)*E24/1000</f>
        <v>0</v>
      </c>
    </row>
    <row r="25" spans="1:10" ht="57" customHeight="1">
      <c r="A25" s="221" t="s">
        <v>546</v>
      </c>
      <c r="B25" s="224">
        <v>0.03</v>
      </c>
      <c r="C25" s="223" t="s">
        <v>552</v>
      </c>
      <c r="D25" s="234" t="s">
        <v>547</v>
      </c>
      <c r="E25" s="485"/>
      <c r="F25" s="334">
        <f>IF(ISBLANK(E25),"",B25*E25)</f>
      </c>
      <c r="G25" s="488">
        <f>IF(ISBLANK(E25),"",0.07*E25)</f>
      </c>
      <c r="H25" s="381">
        <f t="shared" si="0"/>
      </c>
      <c r="J25" s="793">
        <f>(5.21-5.14)*E25/1000</f>
        <v>0</v>
      </c>
    </row>
    <row r="26" spans="1:10" ht="42" customHeight="1">
      <c r="A26" s="13"/>
      <c r="B26" s="13"/>
      <c r="C26" s="873" t="str">
        <f>IF('Page 10-Request for Payment'!C18&gt;1000,"Needs Pre-Approval, see Page 2 for details."," ")</f>
        <v> </v>
      </c>
      <c r="D26" s="873"/>
      <c r="E26" s="873"/>
      <c r="F26" s="364">
        <f>SUM(F8:F25)</f>
        <v>0</v>
      </c>
      <c r="G26" s="488">
        <f>SUM(G8:G25)</f>
        <v>0</v>
      </c>
      <c r="H26" s="381">
        <f>SUM(H8:H25)</f>
        <v>0</v>
      </c>
      <c r="J26" s="794">
        <f>SUM(J8:J25)</f>
        <v>0</v>
      </c>
    </row>
    <row r="27" spans="1:6" ht="35.25" customHeight="1">
      <c r="A27" s="279" t="s">
        <v>232</v>
      </c>
      <c r="D27" s="878"/>
      <c r="E27" s="878"/>
      <c r="F27" s="878"/>
    </row>
    <row r="28" spans="1:7" ht="24" customHeight="1">
      <c r="A28" s="869" t="s">
        <v>229</v>
      </c>
      <c r="B28" s="874"/>
      <c r="C28" s="874"/>
      <c r="D28" s="874"/>
      <c r="E28" s="874"/>
      <c r="F28" s="874"/>
      <c r="G28" s="874"/>
    </row>
    <row r="29" spans="1:8" ht="33.75" customHeight="1">
      <c r="A29" s="869" t="s">
        <v>233</v>
      </c>
      <c r="B29" s="869"/>
      <c r="C29" s="869"/>
      <c r="D29" s="869"/>
      <c r="E29" s="869"/>
      <c r="F29" s="869"/>
      <c r="G29" s="869"/>
      <c r="H29" s="869"/>
    </row>
    <row r="30" spans="1:8" ht="33.75" customHeight="1">
      <c r="A30" s="869" t="s">
        <v>200</v>
      </c>
      <c r="B30" s="869"/>
      <c r="C30" s="869"/>
      <c r="D30" s="869"/>
      <c r="E30" s="869"/>
      <c r="F30" s="869"/>
      <c r="G30" s="869"/>
      <c r="H30" s="869"/>
    </row>
    <row r="31" spans="1:8" ht="33.75" customHeight="1">
      <c r="A31" s="869" t="s">
        <v>201</v>
      </c>
      <c r="B31" s="869"/>
      <c r="C31" s="869"/>
      <c r="D31" s="869"/>
      <c r="E31" s="869"/>
      <c r="F31" s="869"/>
      <c r="G31" s="869"/>
      <c r="H31" s="869"/>
    </row>
    <row r="32" spans="1:8" ht="33.75" customHeight="1">
      <c r="A32" s="869" t="s">
        <v>202</v>
      </c>
      <c r="B32" s="869"/>
      <c r="C32" s="869"/>
      <c r="D32" s="869"/>
      <c r="E32" s="869"/>
      <c r="F32" s="869"/>
      <c r="G32" s="869"/>
      <c r="H32" s="869"/>
    </row>
  </sheetData>
  <sheetProtection sheet="1"/>
  <protectedRanges>
    <protectedRange sqref="E8:E25" name="Range1"/>
  </protectedRanges>
  <mergeCells count="23">
    <mergeCell ref="A16:A19"/>
    <mergeCell ref="B16:B19"/>
    <mergeCell ref="C16:C19"/>
    <mergeCell ref="B10:B12"/>
    <mergeCell ref="B13:B15"/>
    <mergeCell ref="A10:A12"/>
    <mergeCell ref="A32:H32"/>
    <mergeCell ref="A29:H29"/>
    <mergeCell ref="A30:H30"/>
    <mergeCell ref="A31:H31"/>
    <mergeCell ref="A13:A15"/>
    <mergeCell ref="C26:E26"/>
    <mergeCell ref="A28:G28"/>
    <mergeCell ref="B20:B23"/>
    <mergeCell ref="A20:A23"/>
    <mergeCell ref="D27:F27"/>
    <mergeCell ref="F1:H1"/>
    <mergeCell ref="B4:D4"/>
    <mergeCell ref="C10:C12"/>
    <mergeCell ref="C20:C23"/>
    <mergeCell ref="B7:C7"/>
    <mergeCell ref="C13:C15"/>
    <mergeCell ref="G2:H2"/>
  </mergeCells>
  <hyperlinks>
    <hyperlink ref="D25" r:id="rId1" display="http://www.airbarrier.org/specs/index_e.php"/>
  </hyperlinks>
  <printOptions/>
  <pageMargins left="0.28" right="0.17" top="0.75" bottom="0.35" header="0.25" footer="0.25"/>
  <pageSetup horizontalDpi="600" verticalDpi="600" orientation="portrait" scale="80"/>
  <headerFooter alignWithMargins="0">
    <oddFooter>&amp;R&amp;8&amp;F</oddFooter>
  </headerFooter>
</worksheet>
</file>

<file path=xl/worksheets/sheet5.xml><?xml version="1.0" encoding="utf-8"?>
<worksheet xmlns="http://schemas.openxmlformats.org/spreadsheetml/2006/main" xmlns:r="http://schemas.openxmlformats.org/officeDocument/2006/relationships">
  <dimension ref="A1:K83"/>
  <sheetViews>
    <sheetView zoomScale="90" zoomScaleNormal="90" zoomScalePageLayoutView="0" workbookViewId="0" topLeftCell="A4">
      <selection activeCell="C7" sqref="C7"/>
    </sheetView>
  </sheetViews>
  <sheetFormatPr defaultColWidth="8.8515625" defaultRowHeight="12.75"/>
  <cols>
    <col min="1" max="1" width="58.421875" style="0" customWidth="1"/>
    <col min="2" max="2" width="15.00390625" style="0" customWidth="1"/>
    <col min="3" max="3" width="15.140625" style="0" customWidth="1"/>
    <col min="4" max="4" width="14.7109375" style="0" customWidth="1"/>
    <col min="5" max="5" width="18.421875" style="0" customWidth="1"/>
    <col min="6" max="6" width="14.8515625" style="0" customWidth="1"/>
    <col min="7" max="10" width="9.28125" style="0" hidden="1" customWidth="1"/>
    <col min="11" max="11" width="59.421875" style="0" customWidth="1"/>
  </cols>
  <sheetData>
    <row r="1" spans="1:11" ht="18">
      <c r="A1" s="697" t="s">
        <v>103</v>
      </c>
      <c r="B1" s="517"/>
      <c r="C1" s="517"/>
      <c r="D1" s="517"/>
      <c r="E1" s="640">
        <f>CompanyName</f>
        <v>0</v>
      </c>
      <c r="F1" s="640"/>
      <c r="K1" s="369"/>
    </row>
    <row r="2" spans="1:11" ht="21" customHeight="1">
      <c r="A2" s="262" t="s">
        <v>256</v>
      </c>
      <c r="B2" s="518"/>
      <c r="C2" s="518"/>
      <c r="D2" s="518"/>
      <c r="E2" s="312" t="s">
        <v>283</v>
      </c>
      <c r="F2" s="726">
        <f>ApprovalCode</f>
        <v>0</v>
      </c>
      <c r="K2" s="369"/>
    </row>
    <row r="3" spans="1:11" ht="20.25" customHeight="1">
      <c r="A3" s="540" t="s">
        <v>179</v>
      </c>
      <c r="B3" s="518"/>
      <c r="C3" s="518"/>
      <c r="D3" s="518"/>
      <c r="E3" s="518"/>
      <c r="F3" s="518"/>
      <c r="K3" s="369"/>
    </row>
    <row r="4" spans="1:11" ht="8.25" customHeight="1" thickBot="1">
      <c r="A4" s="519"/>
      <c r="B4" s="518"/>
      <c r="C4" s="518"/>
      <c r="D4" s="518"/>
      <c r="E4" s="518"/>
      <c r="F4" s="518"/>
      <c r="K4" s="369"/>
    </row>
    <row r="5" spans="1:11" ht="35.25" customHeight="1">
      <c r="A5" s="928" t="s">
        <v>180</v>
      </c>
      <c r="B5" s="930" t="s">
        <v>181</v>
      </c>
      <c r="C5" s="932" t="s">
        <v>182</v>
      </c>
      <c r="D5" s="930" t="s">
        <v>183</v>
      </c>
      <c r="E5" s="935" t="s">
        <v>184</v>
      </c>
      <c r="F5" s="937" t="s">
        <v>156</v>
      </c>
      <c r="K5" s="369"/>
    </row>
    <row r="6" spans="1:11" ht="46.5" customHeight="1" thickBot="1">
      <c r="A6" s="929"/>
      <c r="B6" s="931"/>
      <c r="C6" s="933"/>
      <c r="D6" s="934"/>
      <c r="E6" s="936"/>
      <c r="F6" s="938"/>
      <c r="G6" s="538" t="s">
        <v>155</v>
      </c>
      <c r="H6" s="538" t="s">
        <v>31</v>
      </c>
      <c r="I6" s="538" t="s">
        <v>153</v>
      </c>
      <c r="J6" s="696" t="s">
        <v>154</v>
      </c>
      <c r="K6" s="369"/>
    </row>
    <row r="7" spans="1:11" ht="40.5" customHeight="1">
      <c r="A7" s="646" t="s">
        <v>185</v>
      </c>
      <c r="B7" s="647">
        <v>300</v>
      </c>
      <c r="C7" s="648"/>
      <c r="D7" s="649">
        <f>IF(C7="","",B7*C7)</f>
      </c>
      <c r="E7" s="650" t="s">
        <v>186</v>
      </c>
      <c r="F7" s="651">
        <f>IF(C7="",G7,(G7*C7))</f>
        <v>150</v>
      </c>
      <c r="G7" s="539">
        <v>150</v>
      </c>
      <c r="H7" s="539">
        <f>G7*C7</f>
        <v>0</v>
      </c>
      <c r="I7" s="535">
        <v>3000</v>
      </c>
      <c r="J7" s="2">
        <f>I7*C7</f>
        <v>0</v>
      </c>
      <c r="K7" s="369"/>
    </row>
    <row r="8" spans="1:11" ht="40.5" customHeight="1">
      <c r="A8" s="652" t="s">
        <v>185</v>
      </c>
      <c r="B8" s="653">
        <v>200</v>
      </c>
      <c r="C8" s="654"/>
      <c r="D8" s="655">
        <f aca="true" t="shared" si="0" ref="D8:D18">IF(C8="","",B8*C8)</f>
      </c>
      <c r="E8" s="656" t="s">
        <v>187</v>
      </c>
      <c r="F8" s="657">
        <f aca="true" t="shared" si="1" ref="F8:F18">IF(C8="",G8,(G8*C8))</f>
        <v>100</v>
      </c>
      <c r="G8" s="539">
        <v>100</v>
      </c>
      <c r="H8" s="539">
        <f aca="true" t="shared" si="2" ref="H8:H21">G8*C8</f>
        <v>0</v>
      </c>
      <c r="I8" s="535">
        <v>2000</v>
      </c>
      <c r="J8" s="2">
        <f aca="true" t="shared" si="3" ref="J8:J21">I8*C8</f>
        <v>0</v>
      </c>
      <c r="K8" s="369"/>
    </row>
    <row r="9" spans="1:11" ht="40.5" customHeight="1">
      <c r="A9" s="658" t="s">
        <v>188</v>
      </c>
      <c r="B9" s="653">
        <v>300</v>
      </c>
      <c r="C9" s="654"/>
      <c r="D9" s="655">
        <f t="shared" si="0"/>
      </c>
      <c r="E9" s="659" t="s">
        <v>189</v>
      </c>
      <c r="F9" s="657">
        <f t="shared" si="1"/>
        <v>334</v>
      </c>
      <c r="G9" s="539">
        <v>334</v>
      </c>
      <c r="H9" s="539">
        <f t="shared" si="2"/>
        <v>0</v>
      </c>
      <c r="I9" s="534">
        <v>6700</v>
      </c>
      <c r="J9" s="2">
        <f t="shared" si="3"/>
        <v>0</v>
      </c>
      <c r="K9" s="369"/>
    </row>
    <row r="10" spans="1:11" ht="40.5" customHeight="1">
      <c r="A10" s="660" t="s">
        <v>190</v>
      </c>
      <c r="B10" s="653">
        <v>50</v>
      </c>
      <c r="C10" s="654"/>
      <c r="D10" s="655">
        <f t="shared" si="0"/>
      </c>
      <c r="E10" s="659" t="s">
        <v>191</v>
      </c>
      <c r="F10" s="657">
        <f t="shared" si="1"/>
        <v>31.5</v>
      </c>
      <c r="G10" s="539">
        <v>31.5</v>
      </c>
      <c r="H10" s="539">
        <f t="shared" si="2"/>
        <v>0</v>
      </c>
      <c r="I10" s="534">
        <v>585</v>
      </c>
      <c r="J10" s="2">
        <f t="shared" si="3"/>
        <v>0</v>
      </c>
      <c r="K10" s="369"/>
    </row>
    <row r="11" spans="1:11" ht="40.5" customHeight="1">
      <c r="A11" s="660" t="s">
        <v>192</v>
      </c>
      <c r="B11" s="653">
        <v>75</v>
      </c>
      <c r="C11" s="654"/>
      <c r="D11" s="655">
        <f t="shared" si="0"/>
      </c>
      <c r="E11" s="659" t="s">
        <v>191</v>
      </c>
      <c r="F11" s="657">
        <f t="shared" si="1"/>
        <v>34</v>
      </c>
      <c r="G11" s="539">
        <v>34</v>
      </c>
      <c r="H11" s="539">
        <f t="shared" si="2"/>
        <v>0</v>
      </c>
      <c r="I11" s="534">
        <v>700</v>
      </c>
      <c r="J11" s="2">
        <f t="shared" si="3"/>
        <v>0</v>
      </c>
      <c r="K11" s="369"/>
    </row>
    <row r="12" spans="1:11" ht="40.5" customHeight="1">
      <c r="A12" s="660" t="s">
        <v>193</v>
      </c>
      <c r="B12" s="653">
        <v>100</v>
      </c>
      <c r="C12" s="654"/>
      <c r="D12" s="655">
        <f t="shared" si="0"/>
      </c>
      <c r="E12" s="659" t="s">
        <v>191</v>
      </c>
      <c r="F12" s="657">
        <f t="shared" si="1"/>
        <v>43</v>
      </c>
      <c r="G12" s="539">
        <v>43</v>
      </c>
      <c r="H12" s="539">
        <f t="shared" si="2"/>
        <v>0</v>
      </c>
      <c r="I12" s="534">
        <v>900</v>
      </c>
      <c r="J12" s="2">
        <f t="shared" si="3"/>
        <v>0</v>
      </c>
      <c r="K12" s="369"/>
    </row>
    <row r="13" spans="1:11" ht="40.5" customHeight="1">
      <c r="A13" s="660" t="s">
        <v>194</v>
      </c>
      <c r="B13" s="653">
        <v>125</v>
      </c>
      <c r="C13" s="654"/>
      <c r="D13" s="655">
        <f t="shared" si="0"/>
      </c>
      <c r="E13" s="659" t="s">
        <v>191</v>
      </c>
      <c r="F13" s="657">
        <f t="shared" si="1"/>
        <v>65</v>
      </c>
      <c r="G13" s="539">
        <v>65</v>
      </c>
      <c r="H13" s="539">
        <f t="shared" si="2"/>
        <v>0</v>
      </c>
      <c r="I13" s="534">
        <v>1250</v>
      </c>
      <c r="J13" s="2">
        <f t="shared" si="3"/>
        <v>0</v>
      </c>
      <c r="K13" s="369"/>
    </row>
    <row r="14" spans="1:11" ht="40.5" customHeight="1">
      <c r="A14" s="658" t="s">
        <v>195</v>
      </c>
      <c r="B14" s="653">
        <v>250</v>
      </c>
      <c r="C14" s="654"/>
      <c r="D14" s="655">
        <f t="shared" si="0"/>
      </c>
      <c r="E14" s="659" t="s">
        <v>189</v>
      </c>
      <c r="F14" s="657">
        <f t="shared" si="1"/>
        <v>185</v>
      </c>
      <c r="G14" s="539">
        <v>185</v>
      </c>
      <c r="H14" s="539">
        <f t="shared" si="2"/>
        <v>0</v>
      </c>
      <c r="I14" s="534">
        <v>3749</v>
      </c>
      <c r="J14" s="2">
        <f t="shared" si="3"/>
        <v>0</v>
      </c>
      <c r="K14" s="369"/>
    </row>
    <row r="15" spans="1:11" ht="40.5" customHeight="1">
      <c r="A15" s="658" t="s">
        <v>196</v>
      </c>
      <c r="B15" s="653">
        <v>75</v>
      </c>
      <c r="C15" s="654"/>
      <c r="D15" s="655">
        <f t="shared" si="0"/>
      </c>
      <c r="E15" s="659" t="s">
        <v>189</v>
      </c>
      <c r="F15" s="657">
        <f t="shared" si="1"/>
        <v>43</v>
      </c>
      <c r="G15" s="539">
        <v>43</v>
      </c>
      <c r="H15" s="539">
        <f t="shared" si="2"/>
        <v>0</v>
      </c>
      <c r="I15" s="535">
        <v>900</v>
      </c>
      <c r="J15" s="2">
        <f t="shared" si="3"/>
        <v>0</v>
      </c>
      <c r="K15" s="369"/>
    </row>
    <row r="16" spans="1:11" ht="40.5" customHeight="1">
      <c r="A16" s="660" t="s">
        <v>2</v>
      </c>
      <c r="B16" s="653">
        <v>150</v>
      </c>
      <c r="C16" s="654"/>
      <c r="D16" s="655">
        <f t="shared" si="0"/>
      </c>
      <c r="E16" s="659" t="s">
        <v>1</v>
      </c>
      <c r="F16" s="657">
        <f t="shared" si="1"/>
        <v>82</v>
      </c>
      <c r="G16" s="539">
        <v>82</v>
      </c>
      <c r="H16" s="539">
        <f t="shared" si="2"/>
        <v>0</v>
      </c>
      <c r="I16" s="534">
        <v>1600</v>
      </c>
      <c r="J16" s="2">
        <f t="shared" si="3"/>
        <v>0</v>
      </c>
      <c r="K16" s="369"/>
    </row>
    <row r="17" spans="1:11" ht="40.5" customHeight="1">
      <c r="A17" s="660" t="s">
        <v>3</v>
      </c>
      <c r="B17" s="653">
        <v>1000</v>
      </c>
      <c r="C17" s="654"/>
      <c r="D17" s="655">
        <f t="shared" si="0"/>
      </c>
      <c r="E17" s="659" t="s">
        <v>1</v>
      </c>
      <c r="F17" s="657">
        <f t="shared" si="1"/>
        <v>600</v>
      </c>
      <c r="G17" s="539">
        <v>600</v>
      </c>
      <c r="H17" s="539">
        <f t="shared" si="2"/>
        <v>0</v>
      </c>
      <c r="I17" s="534">
        <v>12000</v>
      </c>
      <c r="J17" s="2">
        <f t="shared" si="3"/>
        <v>0</v>
      </c>
      <c r="K17" s="369"/>
    </row>
    <row r="18" spans="1:11" ht="40.5" customHeight="1">
      <c r="A18" s="660" t="s">
        <v>4</v>
      </c>
      <c r="B18" s="653">
        <v>225</v>
      </c>
      <c r="C18" s="654"/>
      <c r="D18" s="655">
        <f t="shared" si="0"/>
      </c>
      <c r="E18" s="659" t="s">
        <v>1</v>
      </c>
      <c r="F18" s="657">
        <f t="shared" si="1"/>
        <v>115</v>
      </c>
      <c r="G18" s="539">
        <v>115</v>
      </c>
      <c r="H18" s="539">
        <f t="shared" si="2"/>
        <v>0</v>
      </c>
      <c r="I18" s="534">
        <v>2260</v>
      </c>
      <c r="J18" s="2">
        <f t="shared" si="3"/>
        <v>0</v>
      </c>
      <c r="K18" s="369"/>
    </row>
    <row r="19" spans="1:11" ht="23.25" customHeight="1" thickBot="1">
      <c r="A19" s="548" t="s">
        <v>197</v>
      </c>
      <c r="B19" s="549"/>
      <c r="C19" s="549"/>
      <c r="D19" s="550"/>
      <c r="E19" s="549"/>
      <c r="F19" s="551"/>
      <c r="G19" s="539"/>
      <c r="H19" s="539">
        <f t="shared" si="2"/>
        <v>0</v>
      </c>
      <c r="I19" s="537"/>
      <c r="J19" s="2">
        <f t="shared" si="3"/>
        <v>0</v>
      </c>
      <c r="K19" s="369"/>
    </row>
    <row r="20" spans="1:11" ht="35.25" customHeight="1">
      <c r="A20" s="646" t="s">
        <v>28</v>
      </c>
      <c r="B20" s="647">
        <f>IF(B21="Yes",400,200)</f>
        <v>200</v>
      </c>
      <c r="C20" s="921"/>
      <c r="D20" s="885">
        <f>IF(C20="","",B20*C20)</f>
      </c>
      <c r="E20" s="879" t="s">
        <v>198</v>
      </c>
      <c r="F20" s="881">
        <f>IF(C20="",G20,I20*0.065)</f>
        <v>114</v>
      </c>
      <c r="G20" s="539">
        <v>114</v>
      </c>
      <c r="H20" s="539">
        <f t="shared" si="2"/>
        <v>0</v>
      </c>
      <c r="I20" s="534">
        <f>IF(B21="Yes",3500*C20,1750*C20)</f>
        <v>0</v>
      </c>
      <c r="J20" s="2">
        <f t="shared" si="3"/>
        <v>0</v>
      </c>
      <c r="K20" s="369"/>
    </row>
    <row r="21" spans="1:11" ht="29.25" customHeight="1" thickBot="1">
      <c r="A21" s="661" t="s">
        <v>199</v>
      </c>
      <c r="B21" s="662" t="s">
        <v>30</v>
      </c>
      <c r="C21" s="922"/>
      <c r="D21" s="886"/>
      <c r="E21" s="880"/>
      <c r="F21" s="882"/>
      <c r="G21" s="539"/>
      <c r="H21" s="539">
        <f t="shared" si="2"/>
        <v>0</v>
      </c>
      <c r="I21" s="537"/>
      <c r="J21" s="2">
        <f t="shared" si="3"/>
        <v>0</v>
      </c>
      <c r="K21" s="369"/>
    </row>
    <row r="22" spans="1:11" ht="38.25" customHeight="1" thickBot="1">
      <c r="A22" s="521" t="s">
        <v>111</v>
      </c>
      <c r="B22" s="522" t="s">
        <v>223</v>
      </c>
      <c r="C22" s="552">
        <f>SUM(C7:C21)</f>
        <v>0</v>
      </c>
      <c r="D22" s="520">
        <f>SUM(D7:D21)</f>
        <v>0</v>
      </c>
      <c r="E22" s="553"/>
      <c r="F22" s="731">
        <f>IF(C22=0,"",H22)</f>
      </c>
      <c r="H22" s="730">
        <f>SUM(H7:H21)</f>
        <v>0</v>
      </c>
      <c r="J22">
        <f>SUM(J7:J21)</f>
        <v>0</v>
      </c>
      <c r="K22" s="369"/>
    </row>
    <row r="23" spans="1:11" ht="10.5" customHeight="1" thickBot="1">
      <c r="A23" s="523"/>
      <c r="B23" s="522"/>
      <c r="C23" s="524"/>
      <c r="D23" s="529"/>
      <c r="E23" s="525"/>
      <c r="F23" s="525"/>
      <c r="K23" s="369"/>
    </row>
    <row r="24" spans="1:11" ht="18" thickBot="1">
      <c r="A24" s="530" t="s">
        <v>137</v>
      </c>
      <c r="B24" s="923" t="s">
        <v>138</v>
      </c>
      <c r="C24" s="924"/>
      <c r="D24" s="531" t="s">
        <v>139</v>
      </c>
      <c r="E24" s="527"/>
      <c r="F24" s="532"/>
      <c r="K24" s="369"/>
    </row>
    <row r="25" spans="1:11" ht="26.25" customHeight="1">
      <c r="A25" s="918" t="s">
        <v>140</v>
      </c>
      <c r="B25" s="925" t="s">
        <v>141</v>
      </c>
      <c r="C25" s="926"/>
      <c r="D25" s="899" t="s">
        <v>142</v>
      </c>
      <c r="E25" s="900"/>
      <c r="F25" s="901"/>
      <c r="K25" s="369"/>
    </row>
    <row r="26" spans="1:11" ht="25.5" customHeight="1">
      <c r="A26" s="884"/>
      <c r="B26" s="891"/>
      <c r="C26" s="927"/>
      <c r="D26" s="902"/>
      <c r="E26" s="903"/>
      <c r="F26" s="904"/>
      <c r="K26" s="369"/>
    </row>
    <row r="27" spans="1:11" ht="15.75" customHeight="1">
      <c r="A27" s="883" t="s">
        <v>143</v>
      </c>
      <c r="B27" s="914" t="s">
        <v>144</v>
      </c>
      <c r="C27" s="915"/>
      <c r="D27" s="905" t="s">
        <v>145</v>
      </c>
      <c r="E27" s="906"/>
      <c r="F27" s="907"/>
      <c r="K27" s="369"/>
    </row>
    <row r="28" spans="1:11" ht="30.75" customHeight="1">
      <c r="A28" s="884"/>
      <c r="B28" s="916"/>
      <c r="C28" s="917"/>
      <c r="D28" s="908"/>
      <c r="E28" s="909"/>
      <c r="F28" s="910"/>
      <c r="K28" s="369"/>
    </row>
    <row r="29" spans="1:11" ht="20.25" customHeight="1">
      <c r="A29" s="883" t="s">
        <v>146</v>
      </c>
      <c r="B29" s="914" t="s">
        <v>147</v>
      </c>
      <c r="C29" s="915"/>
      <c r="D29" s="893" t="s">
        <v>148</v>
      </c>
      <c r="E29" s="894"/>
      <c r="F29" s="895"/>
      <c r="K29" s="369"/>
    </row>
    <row r="30" spans="1:11" ht="24" customHeight="1">
      <c r="A30" s="918"/>
      <c r="B30" s="919"/>
      <c r="C30" s="920"/>
      <c r="D30" s="911"/>
      <c r="E30" s="912"/>
      <c r="F30" s="913"/>
      <c r="K30" s="369"/>
    </row>
    <row r="31" spans="1:11" ht="20.25" customHeight="1">
      <c r="A31" s="884"/>
      <c r="B31" s="916"/>
      <c r="C31" s="917"/>
      <c r="D31" s="896"/>
      <c r="E31" s="897"/>
      <c r="F31" s="898"/>
      <c r="K31" s="369"/>
    </row>
    <row r="32" spans="1:11" ht="12.75" customHeight="1">
      <c r="A32" s="887" t="s">
        <v>149</v>
      </c>
      <c r="B32" s="889" t="s">
        <v>150</v>
      </c>
      <c r="C32" s="890"/>
      <c r="D32" s="893" t="s">
        <v>151</v>
      </c>
      <c r="E32" s="894"/>
      <c r="F32" s="895"/>
      <c r="K32" s="369"/>
    </row>
    <row r="33" spans="1:11" ht="25.5" customHeight="1">
      <c r="A33" s="888"/>
      <c r="B33" s="891"/>
      <c r="C33" s="892"/>
      <c r="D33" s="896"/>
      <c r="E33" s="897"/>
      <c r="F33" s="898"/>
      <c r="K33" s="369"/>
    </row>
    <row r="34" spans="1:11" ht="12.75">
      <c r="A34" s="698" t="s">
        <v>152</v>
      </c>
      <c r="B34" s="699"/>
      <c r="C34" s="699"/>
      <c r="D34" s="699"/>
      <c r="E34" s="699"/>
      <c r="F34" s="699"/>
      <c r="G34" s="536"/>
      <c r="H34" s="536"/>
      <c r="I34" s="536"/>
      <c r="J34" s="536"/>
      <c r="K34" s="369"/>
    </row>
    <row r="35" spans="1:11" ht="12.75">
      <c r="A35" s="698" t="s">
        <v>27</v>
      </c>
      <c r="B35" s="699"/>
      <c r="C35" s="699"/>
      <c r="D35" s="699"/>
      <c r="E35" s="699"/>
      <c r="F35" s="699"/>
      <c r="G35" s="536"/>
      <c r="H35" s="536"/>
      <c r="I35" s="536"/>
      <c r="J35" s="536"/>
      <c r="K35" s="369"/>
    </row>
    <row r="36" spans="1:11" ht="12">
      <c r="A36" s="536"/>
      <c r="B36" s="536"/>
      <c r="C36" s="536"/>
      <c r="D36" s="536"/>
      <c r="E36" s="536"/>
      <c r="F36" s="536"/>
      <c r="G36" s="536"/>
      <c r="H36" s="536"/>
      <c r="I36" s="536"/>
      <c r="J36" s="536"/>
      <c r="K36" s="369"/>
    </row>
    <row r="37" spans="1:11" ht="12">
      <c r="A37" s="536"/>
      <c r="B37" s="536"/>
      <c r="C37" s="536"/>
      <c r="D37" s="536"/>
      <c r="E37" s="536"/>
      <c r="F37" s="536"/>
      <c r="G37" s="536"/>
      <c r="H37" s="536"/>
      <c r="I37" s="536"/>
      <c r="J37" s="536"/>
      <c r="K37" s="369"/>
    </row>
    <row r="38" spans="1:11" ht="12">
      <c r="A38" s="536"/>
      <c r="B38" s="536"/>
      <c r="C38" s="536"/>
      <c r="D38" s="536"/>
      <c r="E38" s="536"/>
      <c r="F38" s="536"/>
      <c r="G38" s="536"/>
      <c r="H38" s="536"/>
      <c r="I38" s="536"/>
      <c r="J38" s="536"/>
      <c r="K38" s="369"/>
    </row>
    <row r="39" spans="1:11" ht="12">
      <c r="A39" s="536"/>
      <c r="B39" s="536"/>
      <c r="C39" s="536"/>
      <c r="D39" s="536"/>
      <c r="E39" s="536"/>
      <c r="F39" s="536"/>
      <c r="G39" s="536"/>
      <c r="H39" s="536"/>
      <c r="I39" s="536"/>
      <c r="J39" s="536"/>
      <c r="K39" s="369"/>
    </row>
    <row r="40" spans="1:11" ht="12">
      <c r="A40" s="536"/>
      <c r="B40" s="536"/>
      <c r="C40" s="536"/>
      <c r="D40" s="536"/>
      <c r="E40" s="536"/>
      <c r="F40" s="536"/>
      <c r="G40" s="536"/>
      <c r="H40" s="536"/>
      <c r="I40" s="536"/>
      <c r="J40" s="536"/>
      <c r="K40" s="369"/>
    </row>
    <row r="41" spans="1:11" ht="12">
      <c r="A41" s="536"/>
      <c r="B41" s="536"/>
      <c r="C41" s="536"/>
      <c r="D41" s="536"/>
      <c r="E41" s="536"/>
      <c r="F41" s="536"/>
      <c r="G41" s="536"/>
      <c r="H41" s="536"/>
      <c r="I41" s="536"/>
      <c r="J41" s="536"/>
      <c r="K41" s="369"/>
    </row>
    <row r="42" spans="1:11" ht="12">
      <c r="A42" s="536"/>
      <c r="B42" s="536"/>
      <c r="C42" s="536"/>
      <c r="D42" s="536"/>
      <c r="E42" s="536"/>
      <c r="F42" s="536"/>
      <c r="G42" s="536"/>
      <c r="H42" s="536"/>
      <c r="I42" s="536"/>
      <c r="J42" s="536"/>
      <c r="K42" s="369"/>
    </row>
    <row r="43" spans="1:11" ht="12">
      <c r="A43" s="536"/>
      <c r="B43" s="536"/>
      <c r="C43" s="536"/>
      <c r="D43" s="536"/>
      <c r="E43" s="536"/>
      <c r="F43" s="536"/>
      <c r="G43" s="536"/>
      <c r="H43" s="536"/>
      <c r="I43" s="536"/>
      <c r="J43" s="536"/>
      <c r="K43" s="369"/>
    </row>
    <row r="44" spans="1:11" ht="12">
      <c r="A44" s="536"/>
      <c r="B44" s="536"/>
      <c r="C44" s="536"/>
      <c r="D44" s="536"/>
      <c r="E44" s="536"/>
      <c r="F44" s="536"/>
      <c r="G44" s="536"/>
      <c r="H44" s="536"/>
      <c r="I44" s="536"/>
      <c r="J44" s="536"/>
      <c r="K44" s="369"/>
    </row>
    <row r="45" spans="1:11" ht="12">
      <c r="A45" s="536"/>
      <c r="B45" s="536"/>
      <c r="C45" s="536"/>
      <c r="D45" s="536"/>
      <c r="E45" s="536"/>
      <c r="F45" s="536"/>
      <c r="G45" s="536"/>
      <c r="H45" s="536"/>
      <c r="I45" s="536"/>
      <c r="J45" s="536"/>
      <c r="K45" s="369"/>
    </row>
    <row r="46" spans="1:11" ht="12">
      <c r="A46" s="536"/>
      <c r="B46" s="536"/>
      <c r="C46" s="536"/>
      <c r="D46" s="536"/>
      <c r="E46" s="536"/>
      <c r="F46" s="536"/>
      <c r="G46" s="536"/>
      <c r="H46" s="536"/>
      <c r="I46" s="536"/>
      <c r="J46" s="536"/>
      <c r="K46" s="369"/>
    </row>
    <row r="47" spans="1:11" ht="12">
      <c r="A47" s="536"/>
      <c r="B47" s="536"/>
      <c r="C47" s="536"/>
      <c r="D47" s="536"/>
      <c r="E47" s="536"/>
      <c r="F47" s="536"/>
      <c r="G47" s="536"/>
      <c r="H47" s="536"/>
      <c r="I47" s="536"/>
      <c r="J47" s="536"/>
      <c r="K47" s="369"/>
    </row>
    <row r="48" spans="1:11" ht="12">
      <c r="A48" s="536"/>
      <c r="B48" s="536"/>
      <c r="C48" s="536"/>
      <c r="D48" s="536"/>
      <c r="E48" s="536"/>
      <c r="F48" s="536"/>
      <c r="G48" s="536"/>
      <c r="H48" s="536"/>
      <c r="I48" s="536"/>
      <c r="J48" s="536"/>
      <c r="K48" s="369"/>
    </row>
    <row r="49" spans="1:11" ht="12">
      <c r="A49" s="536"/>
      <c r="B49" s="536"/>
      <c r="C49" s="536"/>
      <c r="D49" s="536"/>
      <c r="E49" s="536"/>
      <c r="F49" s="536"/>
      <c r="G49" s="536"/>
      <c r="H49" s="536"/>
      <c r="I49" s="536"/>
      <c r="J49" s="536"/>
      <c r="K49" s="536"/>
    </row>
    <row r="50" spans="1:11" ht="12">
      <c r="A50" s="536"/>
      <c r="B50" s="536"/>
      <c r="C50" s="536"/>
      <c r="D50" s="536"/>
      <c r="E50" s="536"/>
      <c r="F50" s="536"/>
      <c r="G50" s="536"/>
      <c r="H50" s="536"/>
      <c r="I50" s="536"/>
      <c r="J50" s="536"/>
      <c r="K50" s="536"/>
    </row>
    <row r="51" spans="1:11" ht="12">
      <c r="A51" s="536"/>
      <c r="B51" s="536"/>
      <c r="C51" s="536"/>
      <c r="D51" s="536"/>
      <c r="E51" s="536"/>
      <c r="F51" s="536"/>
      <c r="G51" s="536"/>
      <c r="H51" s="536"/>
      <c r="I51" s="536"/>
      <c r="J51" s="536"/>
      <c r="K51" s="536"/>
    </row>
    <row r="82" ht="12">
      <c r="B82" t="s">
        <v>29</v>
      </c>
    </row>
    <row r="83" ht="12">
      <c r="B83" t="s">
        <v>30</v>
      </c>
    </row>
  </sheetData>
  <sheetProtection sheet="1"/>
  <protectedRanges>
    <protectedRange sqref="B21 C7:C21" name="Range1"/>
  </protectedRanges>
  <mergeCells count="23">
    <mergeCell ref="A5:A6"/>
    <mergeCell ref="B5:B6"/>
    <mergeCell ref="C5:C6"/>
    <mergeCell ref="D5:D6"/>
    <mergeCell ref="E5:E6"/>
    <mergeCell ref="F5:F6"/>
    <mergeCell ref="B27:C28"/>
    <mergeCell ref="A29:A31"/>
    <mergeCell ref="B29:C31"/>
    <mergeCell ref="C20:C21"/>
    <mergeCell ref="B24:C24"/>
    <mergeCell ref="A25:A26"/>
    <mergeCell ref="B25:C26"/>
    <mergeCell ref="E20:E21"/>
    <mergeCell ref="F20:F21"/>
    <mergeCell ref="A27:A28"/>
    <mergeCell ref="D20:D21"/>
    <mergeCell ref="A32:A33"/>
    <mergeCell ref="B32:C33"/>
    <mergeCell ref="D32:F33"/>
    <mergeCell ref="D25:F26"/>
    <mergeCell ref="D27:F28"/>
    <mergeCell ref="D29:F31"/>
  </mergeCells>
  <dataValidations count="1">
    <dataValidation type="list" allowBlank="1" showInputMessage="1" showErrorMessage="1" sqref="B21">
      <formula1>$B$82:$B$83</formula1>
    </dataValidation>
  </dataValidations>
  <printOptions/>
  <pageMargins left="0.49" right="0.35" top="0.53" bottom="0.2" header="0.3" footer="0.3"/>
  <pageSetup horizontalDpi="600" verticalDpi="600" orientation="portrait" scale="69"/>
</worksheet>
</file>

<file path=xl/worksheets/sheet6.xml><?xml version="1.0" encoding="utf-8"?>
<worksheet xmlns="http://schemas.openxmlformats.org/spreadsheetml/2006/main" xmlns:r="http://schemas.openxmlformats.org/officeDocument/2006/relationships">
  <dimension ref="A1:Q51"/>
  <sheetViews>
    <sheetView zoomScalePageLayoutView="0" workbookViewId="0" topLeftCell="A1">
      <selection activeCell="D8" sqref="D8"/>
    </sheetView>
  </sheetViews>
  <sheetFormatPr defaultColWidth="8.8515625" defaultRowHeight="12.75"/>
  <cols>
    <col min="1" max="1" width="59.140625" style="0" customWidth="1"/>
    <col min="2" max="2" width="9.140625" style="0" hidden="1" customWidth="1"/>
    <col min="3" max="3" width="14.00390625" style="0" customWidth="1"/>
    <col min="4" max="4" width="12.28125" style="0" customWidth="1"/>
    <col min="5" max="5" width="12.8515625" style="0" customWidth="1"/>
    <col min="6" max="6" width="12.421875" style="0" customWidth="1"/>
    <col min="7" max="7" width="13.7109375" style="0" customWidth="1"/>
    <col min="8" max="12" width="9.140625" style="0" hidden="1" customWidth="1"/>
  </cols>
  <sheetData>
    <row r="1" spans="1:17" ht="18.75">
      <c r="A1" s="700" t="s">
        <v>103</v>
      </c>
      <c r="B1" s="554"/>
      <c r="C1" s="555"/>
      <c r="D1" s="554"/>
      <c r="E1" s="556"/>
      <c r="F1" s="640">
        <f>CompanyName</f>
        <v>0</v>
      </c>
      <c r="G1" s="640"/>
      <c r="L1" s="536"/>
      <c r="M1" s="536"/>
      <c r="N1" s="536"/>
      <c r="O1" s="536"/>
      <c r="P1" s="536"/>
      <c r="Q1" s="536"/>
    </row>
    <row r="2" spans="1:17" ht="18">
      <c r="A2" s="262" t="s">
        <v>256</v>
      </c>
      <c r="B2" s="557"/>
      <c r="C2" s="555"/>
      <c r="D2" s="557"/>
      <c r="E2" s="556"/>
      <c r="F2" s="312" t="s">
        <v>283</v>
      </c>
      <c r="G2" s="726">
        <f>ApprovalCode</f>
        <v>0</v>
      </c>
      <c r="L2" s="536"/>
      <c r="M2" s="536"/>
      <c r="N2" s="536"/>
      <c r="O2" s="536"/>
      <c r="P2" s="536"/>
      <c r="Q2" s="536"/>
    </row>
    <row r="3" spans="1:17" ht="18">
      <c r="A3" s="600" t="s">
        <v>112</v>
      </c>
      <c r="B3" s="558"/>
      <c r="C3" s="555"/>
      <c r="D3" s="558"/>
      <c r="E3" s="556"/>
      <c r="F3" s="559"/>
      <c r="G3" s="559"/>
      <c r="L3" s="536"/>
      <c r="M3" s="536"/>
      <c r="N3" s="536"/>
      <c r="O3" s="536"/>
      <c r="P3" s="536"/>
      <c r="Q3" s="536"/>
    </row>
    <row r="4" spans="1:17" ht="7.5" customHeight="1" thickBot="1">
      <c r="A4" s="556"/>
      <c r="B4" s="556"/>
      <c r="C4" s="555"/>
      <c r="D4" s="556"/>
      <c r="E4" s="556"/>
      <c r="F4" s="526"/>
      <c r="G4" s="526"/>
      <c r="L4" s="536"/>
      <c r="M4" s="536"/>
      <c r="N4" s="536"/>
      <c r="O4" s="536"/>
      <c r="P4" s="536"/>
      <c r="Q4" s="536"/>
    </row>
    <row r="5" spans="1:17" ht="75.75" customHeight="1" thickBot="1">
      <c r="A5" s="965" t="s">
        <v>113</v>
      </c>
      <c r="B5" s="966"/>
      <c r="C5" s="560" t="s">
        <v>181</v>
      </c>
      <c r="D5" s="561" t="s">
        <v>182</v>
      </c>
      <c r="E5" s="562" t="s">
        <v>115</v>
      </c>
      <c r="F5" s="563" t="s">
        <v>116</v>
      </c>
      <c r="G5" s="564" t="s">
        <v>130</v>
      </c>
      <c r="H5" s="597" t="s">
        <v>132</v>
      </c>
      <c r="I5" s="597" t="s">
        <v>131</v>
      </c>
      <c r="J5" s="598" t="s">
        <v>114</v>
      </c>
      <c r="L5" s="536"/>
      <c r="M5" s="536"/>
      <c r="N5" s="536"/>
      <c r="O5" s="536"/>
      <c r="P5" s="536"/>
      <c r="Q5" s="536"/>
    </row>
    <row r="6" spans="1:17" ht="3" customHeight="1">
      <c r="A6" s="565"/>
      <c r="B6" s="566"/>
      <c r="C6" s="567"/>
      <c r="D6" s="568"/>
      <c r="E6" s="569"/>
      <c r="F6" s="570"/>
      <c r="G6" s="571"/>
      <c r="L6" s="536"/>
      <c r="M6" s="536"/>
      <c r="N6" s="536"/>
      <c r="O6" s="536"/>
      <c r="P6" s="536"/>
      <c r="Q6" s="536"/>
    </row>
    <row r="7" spans="1:17" ht="18" thickBot="1">
      <c r="A7" s="962" t="s">
        <v>135</v>
      </c>
      <c r="B7" s="963"/>
      <c r="C7" s="963"/>
      <c r="D7" s="963"/>
      <c r="E7" s="963"/>
      <c r="F7" s="963"/>
      <c r="G7" s="963"/>
      <c r="L7" s="536"/>
      <c r="M7" s="536"/>
      <c r="N7" s="536"/>
      <c r="O7" s="536"/>
      <c r="P7" s="536"/>
      <c r="Q7" s="536"/>
    </row>
    <row r="8" spans="1:17" ht="33.75" customHeight="1" thickBot="1">
      <c r="A8" s="967" t="s">
        <v>126</v>
      </c>
      <c r="B8" s="968"/>
      <c r="C8" s="663">
        <v>75</v>
      </c>
      <c r="D8" s="664"/>
      <c r="E8" s="665" t="s">
        <v>117</v>
      </c>
      <c r="F8" s="649">
        <f>IF(D8="","",D8*C8)</f>
      </c>
      <c r="G8" s="666">
        <f>IF(D8="",K8,K8*D8)</f>
        <v>46</v>
      </c>
      <c r="H8" s="574">
        <v>810</v>
      </c>
      <c r="I8" s="572">
        <f>H8*D8</f>
        <v>0</v>
      </c>
      <c r="J8" s="573">
        <v>0.1175</v>
      </c>
      <c r="K8" s="727">
        <v>46</v>
      </c>
      <c r="L8" s="729">
        <f aca="true" t="shared" si="0" ref="L8:L14">K8*D8</f>
        <v>0</v>
      </c>
      <c r="M8" s="536"/>
      <c r="N8" s="536"/>
      <c r="O8" s="536"/>
      <c r="P8" s="536"/>
      <c r="Q8" s="536"/>
    </row>
    <row r="9" spans="1:17" ht="33.75" customHeight="1" thickBot="1">
      <c r="A9" s="957" t="s">
        <v>104</v>
      </c>
      <c r="B9" s="961"/>
      <c r="C9" s="663">
        <v>40</v>
      </c>
      <c r="D9" s="664"/>
      <c r="E9" s="665" t="s">
        <v>118</v>
      </c>
      <c r="F9" s="655">
        <f>IF(D9="","",D9*C9)</f>
      </c>
      <c r="G9" s="666">
        <f>IF(D9="",K9,K9*D9)</f>
        <v>35</v>
      </c>
      <c r="H9" s="576">
        <v>592</v>
      </c>
      <c r="I9" s="572">
        <f aca="true" t="shared" si="1" ref="I9:I19">H9*D9</f>
        <v>0</v>
      </c>
      <c r="J9" s="575">
        <v>0.08</v>
      </c>
      <c r="K9" s="727">
        <v>35</v>
      </c>
      <c r="L9" s="729">
        <f t="shared" si="0"/>
        <v>0</v>
      </c>
      <c r="M9" s="536"/>
      <c r="N9" s="536"/>
      <c r="O9" s="536"/>
      <c r="P9" s="536"/>
      <c r="Q9" s="536"/>
    </row>
    <row r="10" spans="1:17" ht="38.25" customHeight="1" thickBot="1">
      <c r="A10" s="957" t="s">
        <v>105</v>
      </c>
      <c r="B10" s="961"/>
      <c r="C10" s="663">
        <v>30</v>
      </c>
      <c r="D10" s="664"/>
      <c r="E10" s="665" t="s">
        <v>119</v>
      </c>
      <c r="F10" s="655">
        <f>IF(D10="","",D10*C10)</f>
      </c>
      <c r="G10" s="666">
        <f>IF(D10="",K10,K10*D10)</f>
        <v>17</v>
      </c>
      <c r="H10" s="574">
        <v>312.69565778441665</v>
      </c>
      <c r="I10" s="572">
        <f t="shared" si="1"/>
        <v>0</v>
      </c>
      <c r="J10" s="573">
        <v>0.03290563808175457</v>
      </c>
      <c r="K10" s="727">
        <v>17</v>
      </c>
      <c r="L10" s="729">
        <f t="shared" si="0"/>
        <v>0</v>
      </c>
      <c r="M10" s="536"/>
      <c r="N10" s="536"/>
      <c r="O10" s="536"/>
      <c r="P10" s="536"/>
      <c r="Q10" s="536"/>
    </row>
    <row r="11" spans="1:17" ht="33.75" customHeight="1" thickBot="1">
      <c r="A11" s="955" t="s">
        <v>106</v>
      </c>
      <c r="B11" s="956"/>
      <c r="C11" s="663">
        <v>50</v>
      </c>
      <c r="D11" s="664"/>
      <c r="E11" s="665" t="s">
        <v>119</v>
      </c>
      <c r="F11" s="655">
        <f>IF(D11="","",D11*C11)</f>
      </c>
      <c r="G11" s="666">
        <f>IF(D11="",K11,K11*D11)</f>
        <v>42.5</v>
      </c>
      <c r="H11" s="576">
        <v>778</v>
      </c>
      <c r="I11" s="572">
        <f t="shared" si="1"/>
        <v>0</v>
      </c>
      <c r="J11" s="575">
        <v>0.12</v>
      </c>
      <c r="K11" s="727">
        <v>42.5</v>
      </c>
      <c r="L11" s="729">
        <f t="shared" si="0"/>
        <v>0</v>
      </c>
      <c r="M11" s="536"/>
      <c r="N11" s="536"/>
      <c r="O11" s="536"/>
      <c r="P11" s="536"/>
      <c r="Q11" s="536"/>
    </row>
    <row r="12" spans="1:17" ht="33.75" customHeight="1">
      <c r="A12" s="953" t="s">
        <v>120</v>
      </c>
      <c r="B12" s="954"/>
      <c r="C12" s="663">
        <v>10</v>
      </c>
      <c r="D12" s="664"/>
      <c r="E12" s="665" t="s">
        <v>121</v>
      </c>
      <c r="F12" s="655">
        <f>IF(D12="","",D12*C12)</f>
      </c>
      <c r="G12" s="666">
        <f>IF(D12="",K12,K12*D12)</f>
        <v>15</v>
      </c>
      <c r="H12" s="574">
        <v>250</v>
      </c>
      <c r="I12" s="572">
        <f t="shared" si="1"/>
        <v>0</v>
      </c>
      <c r="J12" s="573">
        <v>0</v>
      </c>
      <c r="K12" s="727">
        <v>15</v>
      </c>
      <c r="L12" s="729">
        <f t="shared" si="0"/>
        <v>0</v>
      </c>
      <c r="M12" s="536"/>
      <c r="N12" s="536"/>
      <c r="O12" s="536"/>
      <c r="P12" s="536"/>
      <c r="Q12" s="536"/>
    </row>
    <row r="13" spans="1:17" ht="18" thickBot="1">
      <c r="A13" s="962" t="s">
        <v>136</v>
      </c>
      <c r="B13" s="963"/>
      <c r="C13" s="963"/>
      <c r="D13" s="668"/>
      <c r="E13" s="669"/>
      <c r="F13" s="670"/>
      <c r="G13" s="671"/>
      <c r="H13" s="577"/>
      <c r="I13" s="578"/>
      <c r="J13" s="578"/>
      <c r="K13" s="728"/>
      <c r="L13" s="728"/>
      <c r="M13" s="536"/>
      <c r="N13" s="536"/>
      <c r="O13" s="536"/>
      <c r="P13" s="536"/>
      <c r="Q13" s="536"/>
    </row>
    <row r="14" spans="1:17" ht="37.5" customHeight="1" thickBot="1">
      <c r="A14" s="964" t="s">
        <v>126</v>
      </c>
      <c r="B14" s="961"/>
      <c r="C14" s="663">
        <v>50</v>
      </c>
      <c r="D14" s="664"/>
      <c r="E14" s="665" t="s">
        <v>117</v>
      </c>
      <c r="F14" s="655">
        <f aca="true" t="shared" si="2" ref="F14:F19">IF(D14="","",D14*C14)</f>
      </c>
      <c r="G14" s="667">
        <f aca="true" t="shared" si="3" ref="G14:G19">IF(D14="",K14,K14*D14)</f>
        <v>36</v>
      </c>
      <c r="H14" s="596">
        <v>629.268</v>
      </c>
      <c r="I14" s="572">
        <f>H14*D14</f>
        <v>0</v>
      </c>
      <c r="J14" s="573">
        <v>0.04680000000000001</v>
      </c>
      <c r="K14" s="727">
        <v>36</v>
      </c>
      <c r="L14" s="729">
        <f t="shared" si="0"/>
        <v>0</v>
      </c>
      <c r="M14" s="536"/>
      <c r="N14" s="536"/>
      <c r="O14" s="536"/>
      <c r="P14" s="536"/>
      <c r="Q14" s="536"/>
    </row>
    <row r="15" spans="1:17" ht="37.5" customHeight="1" thickBot="1">
      <c r="A15" s="957" t="s">
        <v>104</v>
      </c>
      <c r="B15" s="961"/>
      <c r="C15" s="663">
        <v>40</v>
      </c>
      <c r="D15" s="664"/>
      <c r="E15" s="665" t="s">
        <v>118</v>
      </c>
      <c r="F15" s="655">
        <f t="shared" si="2"/>
      </c>
      <c r="G15" s="667">
        <f t="shared" si="3"/>
        <v>35</v>
      </c>
      <c r="H15" s="576">
        <v>592</v>
      </c>
      <c r="I15" s="572">
        <f t="shared" si="1"/>
        <v>0</v>
      </c>
      <c r="J15" s="575">
        <v>0.08</v>
      </c>
      <c r="K15" s="727">
        <v>35</v>
      </c>
      <c r="L15" s="729">
        <f>K15*D15</f>
        <v>0</v>
      </c>
      <c r="M15" s="536"/>
      <c r="N15" s="536"/>
      <c r="O15" s="536"/>
      <c r="P15" s="536"/>
      <c r="Q15" s="536"/>
    </row>
    <row r="16" spans="1:17" ht="33.75" customHeight="1" thickBot="1">
      <c r="A16" s="955" t="s">
        <v>122</v>
      </c>
      <c r="B16" s="956"/>
      <c r="C16" s="663">
        <v>15</v>
      </c>
      <c r="D16" s="664"/>
      <c r="E16" s="665" t="s">
        <v>118</v>
      </c>
      <c r="F16" s="655">
        <f t="shared" si="2"/>
      </c>
      <c r="G16" s="666">
        <f t="shared" si="3"/>
        <v>35.5</v>
      </c>
      <c r="H16" s="574">
        <v>616.2660000000001</v>
      </c>
      <c r="I16" s="572">
        <f>H16*D16</f>
        <v>0</v>
      </c>
      <c r="J16" s="573">
        <v>0.067</v>
      </c>
      <c r="K16" s="727">
        <v>35.5</v>
      </c>
      <c r="L16" s="729">
        <f>K16*D16</f>
        <v>0</v>
      </c>
      <c r="M16" s="536"/>
      <c r="N16" s="536"/>
      <c r="O16" s="536"/>
      <c r="P16" s="536"/>
      <c r="Q16" s="536"/>
    </row>
    <row r="17" spans="1:17" ht="33.75" customHeight="1" thickBot="1">
      <c r="A17" s="953" t="s">
        <v>123</v>
      </c>
      <c r="B17" s="954"/>
      <c r="C17" s="663">
        <v>1</v>
      </c>
      <c r="D17" s="664"/>
      <c r="E17" s="665" t="s">
        <v>118</v>
      </c>
      <c r="F17" s="655">
        <f t="shared" si="2"/>
      </c>
      <c r="G17" s="666">
        <f t="shared" si="3"/>
        <v>37</v>
      </c>
      <c r="H17" s="574">
        <v>671.454</v>
      </c>
      <c r="I17" s="572">
        <f>H17*D17</f>
        <v>0</v>
      </c>
      <c r="J17" s="573">
        <v>0.073</v>
      </c>
      <c r="K17" s="727">
        <v>37</v>
      </c>
      <c r="L17" s="729">
        <f>K17*D17</f>
        <v>0</v>
      </c>
      <c r="M17" s="536"/>
      <c r="N17" s="536"/>
      <c r="O17" s="536"/>
      <c r="P17" s="536"/>
      <c r="Q17" s="536"/>
    </row>
    <row r="18" spans="1:17" ht="36" customHeight="1" thickBot="1">
      <c r="A18" s="957" t="s">
        <v>62</v>
      </c>
      <c r="B18" s="958"/>
      <c r="C18" s="663">
        <v>150</v>
      </c>
      <c r="D18" s="664"/>
      <c r="E18" s="665" t="s">
        <v>124</v>
      </c>
      <c r="F18" s="655">
        <f t="shared" si="2"/>
      </c>
      <c r="G18" s="667">
        <f t="shared" si="3"/>
        <v>79</v>
      </c>
      <c r="H18" s="574">
        <v>1500</v>
      </c>
      <c r="I18" s="572">
        <f t="shared" si="1"/>
        <v>0</v>
      </c>
      <c r="J18" s="573">
        <v>0</v>
      </c>
      <c r="K18" s="727">
        <v>79</v>
      </c>
      <c r="L18" s="729">
        <f>K18*D18</f>
        <v>0</v>
      </c>
      <c r="M18" s="536"/>
      <c r="N18" s="536"/>
      <c r="O18" s="536"/>
      <c r="P18" s="536"/>
      <c r="Q18" s="536"/>
    </row>
    <row r="19" spans="1:17" ht="42.75" customHeight="1" thickBot="1">
      <c r="A19" s="959" t="s">
        <v>63</v>
      </c>
      <c r="B19" s="960"/>
      <c r="C19" s="672">
        <v>1250</v>
      </c>
      <c r="D19" s="673"/>
      <c r="E19" s="674" t="s">
        <v>125</v>
      </c>
      <c r="F19" s="724">
        <f t="shared" si="2"/>
      </c>
      <c r="G19" s="675">
        <f t="shared" si="3"/>
        <v>656.5</v>
      </c>
      <c r="H19" s="580">
        <v>12500</v>
      </c>
      <c r="I19" s="572">
        <f t="shared" si="1"/>
        <v>0</v>
      </c>
      <c r="J19" s="579">
        <v>0</v>
      </c>
      <c r="K19" s="727">
        <v>656.5</v>
      </c>
      <c r="L19" s="729">
        <f>K19*D19</f>
        <v>0</v>
      </c>
      <c r="M19" s="536"/>
      <c r="N19" s="536"/>
      <c r="O19" s="536"/>
      <c r="P19" s="536"/>
      <c r="Q19" s="536"/>
    </row>
    <row r="20" spans="1:17" ht="33.75" customHeight="1" thickBot="1">
      <c r="A20" s="939" t="s">
        <v>111</v>
      </c>
      <c r="B20" s="939"/>
      <c r="C20" s="581" t="s">
        <v>223</v>
      </c>
      <c r="D20" s="582">
        <f>SUM(D8:D19)</f>
        <v>0</v>
      </c>
      <c r="E20" s="583"/>
      <c r="F20" s="584">
        <f>SUM(F8:F19)</f>
        <v>0</v>
      </c>
      <c r="G20" s="723">
        <f>IF(D20=0,"",L20)</f>
      </c>
      <c r="I20" s="599">
        <f>SUM(I8:I19)</f>
        <v>0</v>
      </c>
      <c r="K20" s="725"/>
      <c r="L20" s="729">
        <f>SUM(L8:L19)</f>
        <v>0</v>
      </c>
      <c r="M20" s="536"/>
      <c r="N20" s="536"/>
      <c r="O20" s="536"/>
      <c r="P20" s="536"/>
      <c r="Q20" s="536"/>
    </row>
    <row r="21" spans="1:17" ht="31.5" customHeight="1">
      <c r="A21" s="949" t="s">
        <v>127</v>
      </c>
      <c r="B21" s="949"/>
      <c r="C21" s="949"/>
      <c r="D21" s="949"/>
      <c r="E21" s="949"/>
      <c r="F21" s="949"/>
      <c r="G21" s="587" t="s">
        <v>178</v>
      </c>
      <c r="L21" s="536"/>
      <c r="M21" s="536"/>
      <c r="N21" s="536"/>
      <c r="O21" s="536"/>
      <c r="P21" s="536"/>
      <c r="Q21" s="536"/>
    </row>
    <row r="22" spans="1:17" ht="4.5" customHeight="1" thickBot="1">
      <c r="A22" s="528"/>
      <c r="B22" s="585"/>
      <c r="C22" s="585"/>
      <c r="D22" s="585"/>
      <c r="E22" s="585"/>
      <c r="F22" s="586"/>
      <c r="G22" s="587"/>
      <c r="L22" s="536"/>
      <c r="M22" s="536"/>
      <c r="N22" s="536"/>
      <c r="O22" s="536"/>
      <c r="P22" s="536"/>
      <c r="Q22" s="536"/>
    </row>
    <row r="23" spans="1:17" ht="13.5">
      <c r="A23" s="588" t="s">
        <v>128</v>
      </c>
      <c r="B23" s="589"/>
      <c r="C23" s="590"/>
      <c r="D23" s="591"/>
      <c r="E23" s="591"/>
      <c r="F23" s="591"/>
      <c r="G23" s="591"/>
      <c r="L23" s="536"/>
      <c r="M23" s="536"/>
      <c r="N23" s="536"/>
      <c r="O23" s="536"/>
      <c r="P23" s="536"/>
      <c r="Q23" s="536"/>
    </row>
    <row r="24" spans="1:17" ht="41.25" customHeight="1">
      <c r="A24" s="950" t="s">
        <v>133</v>
      </c>
      <c r="B24" s="951"/>
      <c r="C24" s="951"/>
      <c r="D24" s="951"/>
      <c r="E24" s="951"/>
      <c r="F24" s="951"/>
      <c r="G24" s="952"/>
      <c r="L24" s="536"/>
      <c r="M24" s="536"/>
      <c r="N24" s="536"/>
      <c r="O24" s="536"/>
      <c r="P24" s="536"/>
      <c r="Q24" s="536"/>
    </row>
    <row r="25" spans="1:17" ht="49.5" customHeight="1">
      <c r="A25" s="946" t="s">
        <v>134</v>
      </c>
      <c r="B25" s="947"/>
      <c r="C25" s="947"/>
      <c r="D25" s="947"/>
      <c r="E25" s="947"/>
      <c r="F25" s="947"/>
      <c r="G25" s="948"/>
      <c r="L25" s="536"/>
      <c r="M25" s="536"/>
      <c r="N25" s="536"/>
      <c r="O25" s="536"/>
      <c r="P25" s="536"/>
      <c r="Q25" s="536"/>
    </row>
    <row r="26" spans="1:17" ht="13.5">
      <c r="A26" s="592" t="s">
        <v>129</v>
      </c>
      <c r="B26" s="593"/>
      <c r="C26" s="594"/>
      <c r="D26" s="595"/>
      <c r="E26" s="595"/>
      <c r="F26" s="595"/>
      <c r="G26" s="595"/>
      <c r="L26" s="536"/>
      <c r="M26" s="536"/>
      <c r="N26" s="536"/>
      <c r="O26" s="536"/>
      <c r="P26" s="536"/>
      <c r="Q26" s="536"/>
    </row>
    <row r="27" spans="1:17" ht="45.75" customHeight="1">
      <c r="A27" s="940" t="s">
        <v>107</v>
      </c>
      <c r="B27" s="941"/>
      <c r="C27" s="941"/>
      <c r="D27" s="941"/>
      <c r="E27" s="941"/>
      <c r="F27" s="941"/>
      <c r="G27" s="942"/>
      <c r="L27" s="536"/>
      <c r="M27" s="536"/>
      <c r="N27" s="536"/>
      <c r="O27" s="536"/>
      <c r="P27" s="536"/>
      <c r="Q27" s="536"/>
    </row>
    <row r="28" spans="1:17" ht="44.25" customHeight="1">
      <c r="A28" s="940" t="s">
        <v>59</v>
      </c>
      <c r="B28" s="941"/>
      <c r="C28" s="941"/>
      <c r="D28" s="941"/>
      <c r="E28" s="941"/>
      <c r="F28" s="941"/>
      <c r="G28" s="942"/>
      <c r="L28" s="536"/>
      <c r="M28" s="536"/>
      <c r="N28" s="536"/>
      <c r="O28" s="536"/>
      <c r="P28" s="536"/>
      <c r="Q28" s="536"/>
    </row>
    <row r="29" spans="1:17" ht="51" customHeight="1">
      <c r="A29" s="940" t="s">
        <v>60</v>
      </c>
      <c r="B29" s="941"/>
      <c r="C29" s="941"/>
      <c r="D29" s="941"/>
      <c r="E29" s="941"/>
      <c r="F29" s="941"/>
      <c r="G29" s="942"/>
      <c r="L29" s="536"/>
      <c r="M29" s="536"/>
      <c r="N29" s="536"/>
      <c r="O29" s="536"/>
      <c r="P29" s="536"/>
      <c r="Q29" s="536"/>
    </row>
    <row r="30" spans="1:17" ht="86.25" customHeight="1">
      <c r="A30" s="940" t="s">
        <v>61</v>
      </c>
      <c r="B30" s="941"/>
      <c r="C30" s="941"/>
      <c r="D30" s="941"/>
      <c r="E30" s="941"/>
      <c r="F30" s="941"/>
      <c r="G30" s="942"/>
      <c r="L30" s="536"/>
      <c r="M30" s="536"/>
      <c r="N30" s="536"/>
      <c r="O30" s="536"/>
      <c r="P30" s="536"/>
      <c r="Q30" s="536"/>
    </row>
    <row r="31" spans="1:17" ht="99" customHeight="1">
      <c r="A31" s="940" t="s">
        <v>55</v>
      </c>
      <c r="B31" s="941"/>
      <c r="C31" s="941"/>
      <c r="D31" s="941"/>
      <c r="E31" s="941"/>
      <c r="F31" s="941"/>
      <c r="G31" s="942"/>
      <c r="L31" s="536"/>
      <c r="M31" s="536"/>
      <c r="N31" s="536"/>
      <c r="O31" s="536"/>
      <c r="P31" s="536"/>
      <c r="Q31" s="536"/>
    </row>
    <row r="32" spans="1:17" ht="71.25" customHeight="1">
      <c r="A32" s="943" t="s">
        <v>64</v>
      </c>
      <c r="B32" s="944"/>
      <c r="C32" s="944"/>
      <c r="D32" s="944"/>
      <c r="E32" s="944"/>
      <c r="F32" s="944"/>
      <c r="G32" s="945"/>
      <c r="L32" s="536"/>
      <c r="M32" s="536"/>
      <c r="N32" s="536"/>
      <c r="O32" s="536"/>
      <c r="P32" s="536"/>
      <c r="Q32" s="536"/>
    </row>
    <row r="33" spans="1:17" ht="12">
      <c r="A33" s="536"/>
      <c r="B33" s="536"/>
      <c r="C33" s="536"/>
      <c r="D33" s="536"/>
      <c r="E33" s="536"/>
      <c r="F33" s="536"/>
      <c r="G33" s="536"/>
      <c r="L33" s="536"/>
      <c r="M33" s="536"/>
      <c r="N33" s="536"/>
      <c r="O33" s="536"/>
      <c r="P33" s="536"/>
      <c r="Q33" s="536"/>
    </row>
    <row r="34" spans="1:17" ht="12">
      <c r="A34" s="536"/>
      <c r="B34" s="536"/>
      <c r="C34" s="536"/>
      <c r="D34" s="536"/>
      <c r="E34" s="536"/>
      <c r="F34" s="536"/>
      <c r="G34" s="536"/>
      <c r="L34" s="536"/>
      <c r="M34" s="536"/>
      <c r="N34" s="536"/>
      <c r="O34" s="536"/>
      <c r="P34" s="536"/>
      <c r="Q34" s="536"/>
    </row>
    <row r="35" spans="1:17" ht="12">
      <c r="A35" s="536"/>
      <c r="B35" s="536"/>
      <c r="C35" s="536"/>
      <c r="D35" s="536"/>
      <c r="E35" s="536"/>
      <c r="F35" s="536"/>
      <c r="G35" s="536"/>
      <c r="L35" s="536"/>
      <c r="M35" s="536"/>
      <c r="N35" s="536"/>
      <c r="O35" s="536"/>
      <c r="P35" s="536"/>
      <c r="Q35" s="536"/>
    </row>
    <row r="36" spans="1:17" ht="12">
      <c r="A36" s="536"/>
      <c r="B36" s="536"/>
      <c r="C36" s="536"/>
      <c r="D36" s="536"/>
      <c r="E36" s="536"/>
      <c r="F36" s="536"/>
      <c r="G36" s="536"/>
      <c r="L36" s="536"/>
      <c r="M36" s="536"/>
      <c r="N36" s="536"/>
      <c r="O36" s="536"/>
      <c r="P36" s="536"/>
      <c r="Q36" s="536"/>
    </row>
    <row r="37" spans="1:17" ht="12">
      <c r="A37" s="536"/>
      <c r="B37" s="536"/>
      <c r="C37" s="536"/>
      <c r="D37" s="536"/>
      <c r="E37" s="536"/>
      <c r="F37" s="536"/>
      <c r="G37" s="536"/>
      <c r="L37" s="536"/>
      <c r="M37" s="536"/>
      <c r="N37" s="536"/>
      <c r="O37" s="536"/>
      <c r="P37" s="536"/>
      <c r="Q37" s="536"/>
    </row>
    <row r="38" spans="1:17" ht="12">
      <c r="A38" s="536"/>
      <c r="B38" s="536"/>
      <c r="C38" s="536"/>
      <c r="D38" s="536"/>
      <c r="E38" s="536"/>
      <c r="F38" s="536"/>
      <c r="G38" s="536"/>
      <c r="L38" s="536"/>
      <c r="M38" s="536"/>
      <c r="N38" s="536"/>
      <c r="O38" s="536"/>
      <c r="P38" s="536"/>
      <c r="Q38" s="536"/>
    </row>
    <row r="39" spans="1:17" ht="12">
      <c r="A39" s="536"/>
      <c r="B39" s="536"/>
      <c r="C39" s="536"/>
      <c r="D39" s="536"/>
      <c r="E39" s="536"/>
      <c r="F39" s="536"/>
      <c r="G39" s="536"/>
      <c r="L39" s="536"/>
      <c r="M39" s="536"/>
      <c r="N39" s="536"/>
      <c r="O39" s="536"/>
      <c r="P39" s="536"/>
      <c r="Q39" s="536"/>
    </row>
    <row r="40" spans="1:17" ht="12">
      <c r="A40" s="536"/>
      <c r="B40" s="536"/>
      <c r="C40" s="536"/>
      <c r="D40" s="536"/>
      <c r="E40" s="536"/>
      <c r="F40" s="536"/>
      <c r="G40" s="536"/>
      <c r="L40" s="536"/>
      <c r="M40" s="536"/>
      <c r="N40" s="536"/>
      <c r="O40" s="536"/>
      <c r="P40" s="536"/>
      <c r="Q40" s="536"/>
    </row>
    <row r="41" spans="1:17" ht="12">
      <c r="A41" s="536"/>
      <c r="B41" s="536"/>
      <c r="C41" s="536"/>
      <c r="D41" s="536"/>
      <c r="E41" s="536"/>
      <c r="F41" s="536"/>
      <c r="G41" s="536"/>
      <c r="L41" s="536"/>
      <c r="M41" s="536"/>
      <c r="N41" s="536"/>
      <c r="O41" s="536"/>
      <c r="P41" s="536"/>
      <c r="Q41" s="536"/>
    </row>
    <row r="42" spans="1:17" ht="12">
      <c r="A42" s="536"/>
      <c r="B42" s="536"/>
      <c r="C42" s="536"/>
      <c r="D42" s="536"/>
      <c r="E42" s="536"/>
      <c r="F42" s="536"/>
      <c r="G42" s="536"/>
      <c r="L42" s="536"/>
      <c r="M42" s="536"/>
      <c r="N42" s="536"/>
      <c r="O42" s="536"/>
      <c r="P42" s="536"/>
      <c r="Q42" s="536"/>
    </row>
    <row r="43" spans="1:17" ht="12">
      <c r="A43" s="536"/>
      <c r="B43" s="536"/>
      <c r="C43" s="536"/>
      <c r="D43" s="536"/>
      <c r="E43" s="536"/>
      <c r="F43" s="536"/>
      <c r="G43" s="536"/>
      <c r="L43" s="536"/>
      <c r="M43" s="536"/>
      <c r="N43" s="536"/>
      <c r="O43" s="536"/>
      <c r="P43" s="536"/>
      <c r="Q43" s="536"/>
    </row>
    <row r="44" spans="1:17" ht="12">
      <c r="A44" s="536"/>
      <c r="B44" s="536"/>
      <c r="C44" s="536"/>
      <c r="D44" s="536"/>
      <c r="E44" s="536"/>
      <c r="F44" s="536"/>
      <c r="G44" s="536"/>
      <c r="L44" s="536"/>
      <c r="M44" s="536"/>
      <c r="N44" s="536"/>
      <c r="O44" s="536"/>
      <c r="P44" s="536"/>
      <c r="Q44" s="536"/>
    </row>
    <row r="45" spans="1:17" ht="12">
      <c r="A45" s="536"/>
      <c r="B45" s="536"/>
      <c r="C45" s="536"/>
      <c r="D45" s="536"/>
      <c r="E45" s="536"/>
      <c r="F45" s="536"/>
      <c r="G45" s="536"/>
      <c r="L45" s="536"/>
      <c r="M45" s="536"/>
      <c r="N45" s="536"/>
      <c r="O45" s="536"/>
      <c r="P45" s="536"/>
      <c r="Q45" s="536"/>
    </row>
    <row r="46" spans="1:17" ht="12">
      <c r="A46" s="536"/>
      <c r="B46" s="536"/>
      <c r="C46" s="536"/>
      <c r="D46" s="536"/>
      <c r="E46" s="536"/>
      <c r="F46" s="536"/>
      <c r="G46" s="536"/>
      <c r="L46" s="536"/>
      <c r="M46" s="536"/>
      <c r="N46" s="536"/>
      <c r="O46" s="536"/>
      <c r="P46" s="536"/>
      <c r="Q46" s="536"/>
    </row>
    <row r="47" spans="1:17" ht="12">
      <c r="A47" s="536"/>
      <c r="B47" s="536"/>
      <c r="C47" s="536"/>
      <c r="D47" s="536"/>
      <c r="E47" s="536"/>
      <c r="F47" s="536"/>
      <c r="G47" s="536"/>
      <c r="L47" s="536"/>
      <c r="M47" s="536"/>
      <c r="N47" s="536"/>
      <c r="O47" s="536"/>
      <c r="P47" s="536"/>
      <c r="Q47" s="536"/>
    </row>
    <row r="48" spans="1:17" ht="12">
      <c r="A48" s="536"/>
      <c r="B48" s="536"/>
      <c r="C48" s="536"/>
      <c r="D48" s="536"/>
      <c r="E48" s="536"/>
      <c r="F48" s="536"/>
      <c r="G48" s="536"/>
      <c r="L48" s="536"/>
      <c r="M48" s="536"/>
      <c r="N48" s="536"/>
      <c r="O48" s="536"/>
      <c r="P48" s="536"/>
      <c r="Q48" s="536"/>
    </row>
    <row r="49" spans="1:17" ht="12">
      <c r="A49" s="536"/>
      <c r="B49" s="536"/>
      <c r="C49" s="536"/>
      <c r="D49" s="536"/>
      <c r="E49" s="536"/>
      <c r="F49" s="536"/>
      <c r="G49" s="536"/>
      <c r="L49" s="536"/>
      <c r="M49" s="536"/>
      <c r="N49" s="536"/>
      <c r="O49" s="536"/>
      <c r="P49" s="536"/>
      <c r="Q49" s="536"/>
    </row>
    <row r="50" spans="1:17" ht="12">
      <c r="A50" s="536"/>
      <c r="B50" s="536"/>
      <c r="C50" s="536"/>
      <c r="D50" s="536"/>
      <c r="E50" s="536"/>
      <c r="F50" s="536"/>
      <c r="G50" s="536"/>
      <c r="L50" s="536"/>
      <c r="M50" s="536"/>
      <c r="N50" s="536"/>
      <c r="O50" s="536"/>
      <c r="P50" s="536"/>
      <c r="Q50" s="536"/>
    </row>
    <row r="51" spans="1:17" ht="12">
      <c r="A51" s="536"/>
      <c r="B51" s="536"/>
      <c r="C51" s="536"/>
      <c r="D51" s="536"/>
      <c r="E51" s="536"/>
      <c r="F51" s="536"/>
      <c r="G51" s="536"/>
      <c r="L51" s="536"/>
      <c r="M51" s="536"/>
      <c r="N51" s="536"/>
      <c r="O51" s="536"/>
      <c r="P51" s="536"/>
      <c r="Q51" s="536"/>
    </row>
  </sheetData>
  <sheetProtection sheet="1"/>
  <protectedRanges>
    <protectedRange sqref="D8:D19" name="Range1"/>
  </protectedRanges>
  <mergeCells count="24">
    <mergeCell ref="A5:B5"/>
    <mergeCell ref="A7:G7"/>
    <mergeCell ref="A9:B9"/>
    <mergeCell ref="A10:B10"/>
    <mergeCell ref="A11:B11"/>
    <mergeCell ref="A8:B8"/>
    <mergeCell ref="A12:B12"/>
    <mergeCell ref="A16:B16"/>
    <mergeCell ref="A17:B17"/>
    <mergeCell ref="A18:B18"/>
    <mergeCell ref="A19:B19"/>
    <mergeCell ref="A15:B15"/>
    <mergeCell ref="A13:C13"/>
    <mergeCell ref="A14:B14"/>
    <mergeCell ref="A20:B20"/>
    <mergeCell ref="A30:G30"/>
    <mergeCell ref="A31:G31"/>
    <mergeCell ref="A32:G32"/>
    <mergeCell ref="A27:G27"/>
    <mergeCell ref="A28:G28"/>
    <mergeCell ref="A29:G29"/>
    <mergeCell ref="A25:G25"/>
    <mergeCell ref="A21:F21"/>
    <mergeCell ref="A24:G24"/>
  </mergeCells>
  <printOptions horizontalCentered="1"/>
  <pageMargins left="0.5" right="0.39" top="0.71" bottom="0.35" header="0.3" footer="0.3"/>
  <pageSetup fitToHeight="2" horizontalDpi="600" verticalDpi="600" orientation="portrait" scale="78"/>
  <rowBreaks count="1" manualBreakCount="1">
    <brk id="25" max="6" man="1"/>
  </rowBreaks>
</worksheet>
</file>

<file path=xl/worksheets/sheet7.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C6" sqref="C6"/>
    </sheetView>
  </sheetViews>
  <sheetFormatPr defaultColWidth="8.8515625" defaultRowHeight="12.75"/>
  <cols>
    <col min="1" max="1" width="52.421875" style="0" customWidth="1"/>
    <col min="2" max="2" width="16.421875" style="0" customWidth="1"/>
    <col min="3" max="3" width="12.140625" style="0" customWidth="1"/>
    <col min="4" max="4" width="12.421875" style="0" customWidth="1"/>
    <col min="5" max="5" width="12.8515625" style="0" customWidth="1"/>
    <col min="6" max="9" width="10.00390625" style="0" hidden="1" customWidth="1"/>
  </cols>
  <sheetData>
    <row r="1" spans="1:17" ht="18">
      <c r="A1" s="697" t="s">
        <v>103</v>
      </c>
      <c r="B1" s="601"/>
      <c r="C1" s="601"/>
      <c r="D1" s="848">
        <f>CompanyName</f>
        <v>0</v>
      </c>
      <c r="E1" s="848"/>
      <c r="F1" s="640"/>
      <c r="G1" s="601"/>
      <c r="I1" s="536"/>
      <c r="J1" s="536"/>
      <c r="K1" s="536"/>
      <c r="L1" s="536"/>
      <c r="M1" s="536"/>
      <c r="N1" s="536"/>
      <c r="O1" s="536"/>
      <c r="P1" s="536"/>
      <c r="Q1" s="536"/>
    </row>
    <row r="2" spans="1:17" ht="15">
      <c r="A2" s="262" t="s">
        <v>256</v>
      </c>
      <c r="B2" s="601"/>
      <c r="C2" s="601"/>
      <c r="D2" s="312" t="s">
        <v>283</v>
      </c>
      <c r="E2" s="312">
        <f>ApprovalCode</f>
        <v>0</v>
      </c>
      <c r="F2" s="312"/>
      <c r="G2" s="601"/>
      <c r="I2" s="536"/>
      <c r="J2" s="536"/>
      <c r="K2" s="536"/>
      <c r="L2" s="536"/>
      <c r="M2" s="536"/>
      <c r="N2" s="536"/>
      <c r="O2" s="536"/>
      <c r="P2" s="536"/>
      <c r="Q2" s="536"/>
    </row>
    <row r="3" spans="1:17" ht="19.5" customHeight="1">
      <c r="A3" s="540" t="s">
        <v>97</v>
      </c>
      <c r="B3" s="601"/>
      <c r="C3" s="601"/>
      <c r="D3" s="601"/>
      <c r="E3" s="601"/>
      <c r="F3" s="601"/>
      <c r="G3" s="601"/>
      <c r="I3" s="536"/>
      <c r="J3" s="536"/>
      <c r="K3" s="536"/>
      <c r="L3" s="536"/>
      <c r="M3" s="536"/>
      <c r="N3" s="536"/>
      <c r="O3" s="536"/>
      <c r="P3" s="536"/>
      <c r="Q3" s="536"/>
    </row>
    <row r="4" spans="1:17" ht="7.5" customHeight="1" thickBot="1">
      <c r="A4" s="601"/>
      <c r="B4" s="601"/>
      <c r="C4" s="601"/>
      <c r="D4" s="601"/>
      <c r="E4" s="601"/>
      <c r="F4" s="601"/>
      <c r="G4" s="601"/>
      <c r="I4" s="536"/>
      <c r="J4" s="536"/>
      <c r="K4" s="536"/>
      <c r="L4" s="536"/>
      <c r="M4" s="536"/>
      <c r="N4" s="536"/>
      <c r="O4" s="536"/>
      <c r="P4" s="536"/>
      <c r="Q4" s="536"/>
    </row>
    <row r="5" spans="1:16" ht="60.75" customHeight="1" thickBot="1">
      <c r="A5" s="621" t="s">
        <v>77</v>
      </c>
      <c r="B5" s="622" t="s">
        <v>181</v>
      </c>
      <c r="C5" s="623" t="s">
        <v>78</v>
      </c>
      <c r="D5" s="622" t="s">
        <v>79</v>
      </c>
      <c r="E5" s="624" t="s">
        <v>91</v>
      </c>
      <c r="F5" s="615" t="s">
        <v>92</v>
      </c>
      <c r="G5" s="613" t="s">
        <v>93</v>
      </c>
      <c r="H5" s="613" t="s">
        <v>94</v>
      </c>
      <c r="I5" s="613" t="s">
        <v>32</v>
      </c>
      <c r="J5" s="536"/>
      <c r="K5" s="536"/>
      <c r="L5" s="536"/>
      <c r="M5" s="536"/>
      <c r="N5" s="536"/>
      <c r="O5" s="536"/>
      <c r="P5" s="536"/>
    </row>
    <row r="6" spans="1:16" ht="33" customHeight="1">
      <c r="A6" s="676" t="s">
        <v>80</v>
      </c>
      <c r="B6" s="677">
        <v>15</v>
      </c>
      <c r="C6" s="678"/>
      <c r="D6" s="679">
        <f aca="true" t="shared" si="0" ref="D6:D11">IF(C6="","",C6*B6)</f>
      </c>
      <c r="E6" s="733">
        <f>IF(C6="",H6,H6*C6)</f>
        <v>12</v>
      </c>
      <c r="F6" s="616">
        <v>213.5</v>
      </c>
      <c r="G6">
        <f>F6*C6</f>
        <v>0</v>
      </c>
      <c r="H6" s="603">
        <v>12</v>
      </c>
      <c r="I6" s="603">
        <f>H6*C6</f>
        <v>0</v>
      </c>
      <c r="J6" s="536"/>
      <c r="K6" s="536"/>
      <c r="L6" s="536"/>
      <c r="M6" s="536"/>
      <c r="N6" s="536"/>
      <c r="O6" s="536"/>
      <c r="P6" s="536"/>
    </row>
    <row r="7" spans="1:16" ht="33" customHeight="1">
      <c r="A7" s="680" t="s">
        <v>81</v>
      </c>
      <c r="B7" s="681">
        <v>15</v>
      </c>
      <c r="C7" s="682"/>
      <c r="D7" s="683">
        <f t="shared" si="0"/>
      </c>
      <c r="E7" s="734">
        <f aca="true" t="shared" si="1" ref="E7:E16">IF(C7="",H7,H7*C7)</f>
        <v>12</v>
      </c>
      <c r="F7" s="617">
        <v>217</v>
      </c>
      <c r="G7">
        <f aca="true" t="shared" si="2" ref="G7:G16">F7*C7</f>
        <v>0</v>
      </c>
      <c r="H7" s="604">
        <v>12</v>
      </c>
      <c r="I7" s="604">
        <f aca="true" t="shared" si="3" ref="I7:I16">H7*C7</f>
        <v>0</v>
      </c>
      <c r="J7" s="536"/>
      <c r="K7" s="536"/>
      <c r="L7" s="536"/>
      <c r="M7" s="536"/>
      <c r="N7" s="536"/>
      <c r="O7" s="536"/>
      <c r="P7" s="536"/>
    </row>
    <row r="8" spans="1:16" ht="38.25" customHeight="1">
      <c r="A8" s="684" t="s">
        <v>82</v>
      </c>
      <c r="B8" s="681">
        <v>5</v>
      </c>
      <c r="C8" s="682"/>
      <c r="D8" s="683">
        <f t="shared" si="0"/>
      </c>
      <c r="E8" s="734">
        <f t="shared" si="1"/>
        <v>2</v>
      </c>
      <c r="F8" s="617">
        <v>31.125</v>
      </c>
      <c r="G8">
        <f t="shared" si="2"/>
        <v>0</v>
      </c>
      <c r="H8" s="604">
        <v>2</v>
      </c>
      <c r="I8" s="604">
        <f t="shared" si="3"/>
        <v>0</v>
      </c>
      <c r="J8" s="536"/>
      <c r="K8" s="536"/>
      <c r="L8" s="536"/>
      <c r="M8" s="536"/>
      <c r="N8" s="536"/>
      <c r="O8" s="536"/>
      <c r="P8" s="536"/>
    </row>
    <row r="9" spans="1:16" ht="33" customHeight="1">
      <c r="A9" s="680" t="s">
        <v>83</v>
      </c>
      <c r="B9" s="681">
        <v>1</v>
      </c>
      <c r="C9" s="682"/>
      <c r="D9" s="683">
        <f t="shared" si="0"/>
      </c>
      <c r="E9" s="734">
        <f t="shared" si="1"/>
        <v>5</v>
      </c>
      <c r="F9" s="617">
        <v>90</v>
      </c>
      <c r="G9">
        <f t="shared" si="2"/>
        <v>0</v>
      </c>
      <c r="H9" s="604">
        <v>5</v>
      </c>
      <c r="I9" s="604">
        <f t="shared" si="3"/>
        <v>0</v>
      </c>
      <c r="J9" s="536"/>
      <c r="K9" s="536"/>
      <c r="L9" s="536"/>
      <c r="M9" s="536"/>
      <c r="N9" s="536"/>
      <c r="O9" s="536"/>
      <c r="P9" s="536"/>
    </row>
    <row r="10" spans="1:16" ht="33" customHeight="1">
      <c r="A10" s="685" t="s">
        <v>84</v>
      </c>
      <c r="B10" s="681">
        <v>20</v>
      </c>
      <c r="C10" s="682"/>
      <c r="D10" s="683">
        <f t="shared" si="0"/>
      </c>
      <c r="E10" s="735">
        <f t="shared" si="1"/>
        <v>11</v>
      </c>
      <c r="F10" s="617">
        <v>200</v>
      </c>
      <c r="G10">
        <f t="shared" si="2"/>
        <v>0</v>
      </c>
      <c r="H10" s="605">
        <v>11</v>
      </c>
      <c r="I10" s="605">
        <f t="shared" si="3"/>
        <v>0</v>
      </c>
      <c r="J10" s="536"/>
      <c r="K10" s="536"/>
      <c r="L10" s="536"/>
      <c r="M10" s="536"/>
      <c r="N10" s="536"/>
      <c r="O10" s="536"/>
      <c r="P10" s="536"/>
    </row>
    <row r="11" spans="1:16" ht="33" customHeight="1" thickBot="1">
      <c r="A11" s="686" t="s">
        <v>85</v>
      </c>
      <c r="B11" s="687">
        <v>5</v>
      </c>
      <c r="C11" s="688"/>
      <c r="D11" s="689">
        <f t="shared" si="0"/>
      </c>
      <c r="E11" s="736">
        <f t="shared" si="1"/>
        <v>3</v>
      </c>
      <c r="F11" s="618">
        <v>50</v>
      </c>
      <c r="G11">
        <f t="shared" si="2"/>
        <v>0</v>
      </c>
      <c r="H11" s="606">
        <v>3</v>
      </c>
      <c r="I11" s="606">
        <f t="shared" si="3"/>
        <v>0</v>
      </c>
      <c r="J11" s="536"/>
      <c r="K11" s="536"/>
      <c r="L11" s="536"/>
      <c r="M11" s="536"/>
      <c r="N11" s="536"/>
      <c r="O11" s="536"/>
      <c r="P11" s="536"/>
    </row>
    <row r="12" spans="1:16" ht="24.75" customHeight="1">
      <c r="A12" s="607" t="s">
        <v>86</v>
      </c>
      <c r="B12" s="608"/>
      <c r="C12" s="602"/>
      <c r="D12" s="608"/>
      <c r="E12" s="737"/>
      <c r="F12" s="619"/>
      <c r="G12" s="609"/>
      <c r="H12" s="609"/>
      <c r="I12" s="609"/>
      <c r="J12" s="536"/>
      <c r="K12" s="536"/>
      <c r="L12" s="536"/>
      <c r="M12" s="536"/>
      <c r="N12" s="536"/>
      <c r="O12" s="536"/>
      <c r="P12" s="536"/>
    </row>
    <row r="13" spans="1:16" ht="33" customHeight="1">
      <c r="A13" s="690" t="s">
        <v>87</v>
      </c>
      <c r="B13" s="681">
        <v>7</v>
      </c>
      <c r="C13" s="682"/>
      <c r="D13" s="683">
        <f>IF(C13="","",C13*B13)</f>
      </c>
      <c r="E13" s="734">
        <f t="shared" si="1"/>
        <v>7.5</v>
      </c>
      <c r="F13" s="617">
        <v>132</v>
      </c>
      <c r="G13">
        <f t="shared" si="2"/>
        <v>0</v>
      </c>
      <c r="H13" s="604">
        <v>7.5</v>
      </c>
      <c r="I13" s="604">
        <f t="shared" si="3"/>
        <v>0</v>
      </c>
      <c r="J13" s="536"/>
      <c r="K13" s="536"/>
      <c r="L13" s="536"/>
      <c r="M13" s="536"/>
      <c r="N13" s="536"/>
      <c r="O13" s="536"/>
      <c r="P13" s="536"/>
    </row>
    <row r="14" spans="1:16" ht="33" customHeight="1">
      <c r="A14" s="690" t="s">
        <v>88</v>
      </c>
      <c r="B14" s="681">
        <v>15</v>
      </c>
      <c r="C14" s="682"/>
      <c r="D14" s="683">
        <f>IF(C14="","",C14*B14)</f>
      </c>
      <c r="E14" s="734">
        <f t="shared" si="1"/>
        <v>9</v>
      </c>
      <c r="F14" s="617">
        <v>200</v>
      </c>
      <c r="G14">
        <f t="shared" si="2"/>
        <v>0</v>
      </c>
      <c r="H14" s="604">
        <v>9</v>
      </c>
      <c r="I14" s="604">
        <f t="shared" si="3"/>
        <v>0</v>
      </c>
      <c r="J14" s="536"/>
      <c r="K14" s="536"/>
      <c r="L14" s="536"/>
      <c r="M14" s="536"/>
      <c r="N14" s="536"/>
      <c r="O14" s="536"/>
      <c r="P14" s="536"/>
    </row>
    <row r="15" spans="1:16" ht="33" customHeight="1">
      <c r="A15" s="691" t="s">
        <v>65</v>
      </c>
      <c r="B15" s="692">
        <v>15</v>
      </c>
      <c r="C15" s="682"/>
      <c r="D15" s="683">
        <f>IF(C15="","",C15*B15)</f>
      </c>
      <c r="E15" s="734">
        <f t="shared" si="1"/>
        <v>8</v>
      </c>
      <c r="F15" s="617">
        <v>150</v>
      </c>
      <c r="G15">
        <f t="shared" si="2"/>
        <v>0</v>
      </c>
      <c r="H15" s="604">
        <v>8</v>
      </c>
      <c r="I15" s="604">
        <f t="shared" si="3"/>
        <v>0</v>
      </c>
      <c r="J15" s="536"/>
      <c r="K15" s="536"/>
      <c r="L15" s="536"/>
      <c r="M15" s="536"/>
      <c r="N15" s="536"/>
      <c r="O15" s="536"/>
      <c r="P15" s="536"/>
    </row>
    <row r="16" spans="1:16" ht="33" customHeight="1" thickBot="1">
      <c r="A16" s="693" t="s">
        <v>66</v>
      </c>
      <c r="B16" s="694">
        <v>90</v>
      </c>
      <c r="C16" s="695"/>
      <c r="D16" s="703">
        <f>IF(C16="","",C16*B16)</f>
      </c>
      <c r="E16" s="738">
        <f t="shared" si="1"/>
        <v>43</v>
      </c>
      <c r="F16" s="620">
        <v>900</v>
      </c>
      <c r="G16">
        <f t="shared" si="2"/>
        <v>0</v>
      </c>
      <c r="H16" s="606">
        <v>43</v>
      </c>
      <c r="I16" s="606">
        <f t="shared" si="3"/>
        <v>0</v>
      </c>
      <c r="J16" s="536"/>
      <c r="K16" s="536"/>
      <c r="L16" s="536"/>
      <c r="M16" s="536"/>
      <c r="N16" s="536"/>
      <c r="O16" s="536"/>
      <c r="P16" s="536"/>
    </row>
    <row r="17" spans="1:17" ht="36" customHeight="1" thickBot="1">
      <c r="A17" s="790" t="s">
        <v>111</v>
      </c>
      <c r="B17" s="610" t="s">
        <v>487</v>
      </c>
      <c r="C17" s="702">
        <f>SUM(C6:C16)</f>
        <v>0</v>
      </c>
      <c r="D17" s="704">
        <f>SUM(D6:D16)</f>
        <v>0</v>
      </c>
      <c r="E17" s="732">
        <f>IF(C17=0,"",I17)</f>
      </c>
      <c r="F17" s="701">
        <f>IF(C17=0,"",SUM(E6:E16))</f>
      </c>
      <c r="G17" s="614">
        <f>IF(C17=0,"",SUM(G6:G16))</f>
      </c>
      <c r="H17" s="1">
        <f>SUM(G6:G16)</f>
        <v>0</v>
      </c>
      <c r="I17" s="1">
        <f>SUM(I6:I16)</f>
        <v>0</v>
      </c>
      <c r="J17" s="536"/>
      <c r="K17" s="536"/>
      <c r="L17" s="536"/>
      <c r="M17" s="536"/>
      <c r="N17" s="536"/>
      <c r="O17" s="536"/>
      <c r="P17" s="536"/>
      <c r="Q17" s="536"/>
    </row>
    <row r="18" spans="1:17" ht="36" customHeight="1">
      <c r="A18" s="969" t="s">
        <v>89</v>
      </c>
      <c r="B18" s="969"/>
      <c r="C18" s="969"/>
      <c r="D18" s="969"/>
      <c r="E18" s="969"/>
      <c r="F18" s="969"/>
      <c r="G18" s="611"/>
      <c r="I18" s="536"/>
      <c r="J18" s="536"/>
      <c r="K18" s="536"/>
      <c r="L18" s="536"/>
      <c r="M18" s="536"/>
      <c r="N18" s="536"/>
      <c r="O18" s="536"/>
      <c r="P18" s="536"/>
      <c r="Q18" s="536"/>
    </row>
    <row r="19" spans="1:17" ht="40.5" customHeight="1">
      <c r="A19" s="970" t="s">
        <v>90</v>
      </c>
      <c r="B19" s="970"/>
      <c r="C19" s="970"/>
      <c r="D19" s="970"/>
      <c r="E19" s="970"/>
      <c r="F19" s="612"/>
      <c r="G19" s="611"/>
      <c r="I19" s="536"/>
      <c r="J19" s="536"/>
      <c r="K19" s="536"/>
      <c r="L19" s="536"/>
      <c r="M19" s="536"/>
      <c r="N19" s="536"/>
      <c r="O19" s="536"/>
      <c r="P19" s="536"/>
      <c r="Q19" s="536"/>
    </row>
    <row r="20" spans="1:17" ht="279.75" customHeight="1">
      <c r="A20" s="536"/>
      <c r="B20" s="536"/>
      <c r="C20" s="536"/>
      <c r="D20" s="536"/>
      <c r="E20" s="536"/>
      <c r="F20" s="536"/>
      <c r="J20" s="536"/>
      <c r="K20" s="536"/>
      <c r="L20" s="536"/>
      <c r="M20" s="536"/>
      <c r="N20" s="536"/>
      <c r="O20" s="536"/>
      <c r="P20" s="536"/>
      <c r="Q20" s="536"/>
    </row>
    <row r="21" spans="1:17" ht="12">
      <c r="A21" s="536"/>
      <c r="B21" s="536"/>
      <c r="C21" s="536"/>
      <c r="D21" s="536"/>
      <c r="E21" s="536"/>
      <c r="F21" s="536"/>
      <c r="J21" s="536"/>
      <c r="K21" s="536"/>
      <c r="L21" s="536"/>
      <c r="M21" s="536"/>
      <c r="N21" s="536"/>
      <c r="O21" s="536"/>
      <c r="P21" s="536"/>
      <c r="Q21" s="536"/>
    </row>
    <row r="22" spans="1:17" ht="12">
      <c r="A22" s="536"/>
      <c r="B22" s="536"/>
      <c r="C22" s="536"/>
      <c r="D22" s="536"/>
      <c r="E22" s="536"/>
      <c r="F22" s="536"/>
      <c r="J22" s="536"/>
      <c r="K22" s="536"/>
      <c r="L22" s="536"/>
      <c r="M22" s="536"/>
      <c r="N22" s="536"/>
      <c r="O22" s="536"/>
      <c r="P22" s="536"/>
      <c r="Q22" s="536"/>
    </row>
    <row r="23" spans="1:17" ht="12">
      <c r="A23" s="536"/>
      <c r="B23" s="536"/>
      <c r="C23" s="536"/>
      <c r="D23" s="536"/>
      <c r="E23" s="536"/>
      <c r="F23" s="536"/>
      <c r="J23" s="536"/>
      <c r="K23" s="536"/>
      <c r="L23" s="536"/>
      <c r="M23" s="536"/>
      <c r="N23" s="536"/>
      <c r="O23" s="536"/>
      <c r="P23" s="536"/>
      <c r="Q23" s="536"/>
    </row>
    <row r="24" spans="1:17" ht="12">
      <c r="A24" s="536"/>
      <c r="B24" s="536"/>
      <c r="C24" s="536"/>
      <c r="D24" s="536"/>
      <c r="E24" s="536"/>
      <c r="F24" s="536"/>
      <c r="J24" s="536"/>
      <c r="K24" s="536"/>
      <c r="L24" s="536"/>
      <c r="M24" s="536"/>
      <c r="N24" s="536"/>
      <c r="O24" s="536"/>
      <c r="P24" s="536"/>
      <c r="Q24" s="536"/>
    </row>
    <row r="25" spans="1:17" ht="12">
      <c r="A25" s="536"/>
      <c r="B25" s="536"/>
      <c r="C25" s="536"/>
      <c r="D25" s="536"/>
      <c r="E25" s="536"/>
      <c r="F25" s="536"/>
      <c r="J25" s="536"/>
      <c r="K25" s="536"/>
      <c r="L25" s="536"/>
      <c r="M25" s="536"/>
      <c r="N25" s="536"/>
      <c r="O25" s="536"/>
      <c r="P25" s="536"/>
      <c r="Q25" s="536"/>
    </row>
    <row r="26" spans="1:17" ht="12">
      <c r="A26" s="536"/>
      <c r="B26" s="536"/>
      <c r="C26" s="536"/>
      <c r="D26" s="536"/>
      <c r="E26" s="536"/>
      <c r="F26" s="536"/>
      <c r="J26" s="536"/>
      <c r="K26" s="536"/>
      <c r="L26" s="536"/>
      <c r="M26" s="536"/>
      <c r="N26" s="536"/>
      <c r="O26" s="536"/>
      <c r="P26" s="536"/>
      <c r="Q26" s="536"/>
    </row>
    <row r="27" spans="1:17" ht="12">
      <c r="A27" s="536"/>
      <c r="B27" s="536"/>
      <c r="C27" s="536"/>
      <c r="D27" s="536"/>
      <c r="E27" s="536"/>
      <c r="F27" s="536"/>
      <c r="J27" s="536"/>
      <c r="K27" s="536"/>
      <c r="L27" s="536"/>
      <c r="M27" s="536"/>
      <c r="N27" s="536"/>
      <c r="O27" s="536"/>
      <c r="P27" s="536"/>
      <c r="Q27" s="536"/>
    </row>
    <row r="28" spans="1:17" ht="12">
      <c r="A28" s="536"/>
      <c r="B28" s="536"/>
      <c r="C28" s="536"/>
      <c r="D28" s="536"/>
      <c r="E28" s="536"/>
      <c r="F28" s="536"/>
      <c r="J28" s="536"/>
      <c r="K28" s="536"/>
      <c r="L28" s="536"/>
      <c r="M28" s="536"/>
      <c r="N28" s="536"/>
      <c r="O28" s="536"/>
      <c r="P28" s="536"/>
      <c r="Q28" s="536"/>
    </row>
    <row r="29" spans="1:17" ht="12">
      <c r="A29" s="536"/>
      <c r="B29" s="536"/>
      <c r="C29" s="536"/>
      <c r="D29" s="536"/>
      <c r="E29" s="536"/>
      <c r="F29" s="536"/>
      <c r="J29" s="536"/>
      <c r="K29" s="536"/>
      <c r="L29" s="536"/>
      <c r="M29" s="536"/>
      <c r="N29" s="536"/>
      <c r="O29" s="536"/>
      <c r="P29" s="536"/>
      <c r="Q29" s="536"/>
    </row>
    <row r="30" spans="1:17" ht="12">
      <c r="A30" s="536"/>
      <c r="B30" s="536"/>
      <c r="C30" s="536"/>
      <c r="D30" s="536"/>
      <c r="E30" s="536"/>
      <c r="F30" s="536"/>
      <c r="J30" s="536"/>
      <c r="K30" s="536"/>
      <c r="L30" s="536"/>
      <c r="M30" s="536"/>
      <c r="N30" s="536"/>
      <c r="O30" s="536"/>
      <c r="P30" s="536"/>
      <c r="Q30" s="536"/>
    </row>
    <row r="31" spans="1:17" ht="12">
      <c r="A31" s="536"/>
      <c r="B31" s="536"/>
      <c r="C31" s="536"/>
      <c r="D31" s="536"/>
      <c r="E31" s="536"/>
      <c r="F31" s="536"/>
      <c r="J31" s="536"/>
      <c r="K31" s="536"/>
      <c r="L31" s="536"/>
      <c r="M31" s="536"/>
      <c r="N31" s="536"/>
      <c r="O31" s="536"/>
      <c r="P31" s="536"/>
      <c r="Q31" s="536"/>
    </row>
    <row r="32" spans="1:17" ht="12">
      <c r="A32" s="536"/>
      <c r="B32" s="536"/>
      <c r="C32" s="536"/>
      <c r="D32" s="536"/>
      <c r="E32" s="536"/>
      <c r="F32" s="536"/>
      <c r="J32" s="536"/>
      <c r="K32" s="536"/>
      <c r="L32" s="536"/>
      <c r="M32" s="536"/>
      <c r="N32" s="536"/>
      <c r="O32" s="536"/>
      <c r="P32" s="536"/>
      <c r="Q32" s="536"/>
    </row>
    <row r="33" spans="1:17" ht="12">
      <c r="A33" s="536"/>
      <c r="B33" s="536"/>
      <c r="C33" s="536"/>
      <c r="D33" s="536"/>
      <c r="E33" s="536"/>
      <c r="F33" s="536"/>
      <c r="J33" s="536"/>
      <c r="K33" s="536"/>
      <c r="L33" s="536"/>
      <c r="M33" s="536"/>
      <c r="N33" s="536"/>
      <c r="O33" s="536"/>
      <c r="P33" s="536"/>
      <c r="Q33" s="536"/>
    </row>
    <row r="34" spans="1:17" ht="12">
      <c r="A34" s="536"/>
      <c r="B34" s="536"/>
      <c r="C34" s="536"/>
      <c r="D34" s="536"/>
      <c r="E34" s="536"/>
      <c r="F34" s="536"/>
      <c r="J34" s="536"/>
      <c r="K34" s="536"/>
      <c r="L34" s="536"/>
      <c r="M34" s="536"/>
      <c r="N34" s="536"/>
      <c r="O34" s="536"/>
      <c r="P34" s="536"/>
      <c r="Q34" s="536"/>
    </row>
    <row r="35" spans="1:17" ht="12">
      <c r="A35" s="536"/>
      <c r="B35" s="536"/>
      <c r="C35" s="536"/>
      <c r="D35" s="536"/>
      <c r="E35" s="536"/>
      <c r="F35" s="536"/>
      <c r="J35" s="536"/>
      <c r="K35" s="536"/>
      <c r="L35" s="536"/>
      <c r="M35" s="536"/>
      <c r="N35" s="536"/>
      <c r="O35" s="536"/>
      <c r="P35" s="536"/>
      <c r="Q35" s="536"/>
    </row>
  </sheetData>
  <sheetProtection sheet="1"/>
  <protectedRanges>
    <protectedRange sqref="C6:C16" name="Range1"/>
  </protectedRanges>
  <mergeCells count="3">
    <mergeCell ref="A18:F18"/>
    <mergeCell ref="A19:E19"/>
    <mergeCell ref="D1:E1"/>
  </mergeCells>
  <printOptions/>
  <pageMargins left="0.51" right="0.31" top="0.75" bottom="0.75" header="0.3" footer="0.3"/>
  <pageSetup fitToHeight="1" fitToWidth="1" horizontalDpi="600" verticalDpi="600" orientation="portrait" scale="93"/>
</worksheet>
</file>

<file path=xl/worksheets/sheet8.xml><?xml version="1.0" encoding="utf-8"?>
<worksheet xmlns="http://schemas.openxmlformats.org/spreadsheetml/2006/main" xmlns:r="http://schemas.openxmlformats.org/officeDocument/2006/relationships">
  <dimension ref="A1:AB47"/>
  <sheetViews>
    <sheetView showGridLines="0" zoomScale="130" zoomScaleNormal="130" zoomScalePageLayoutView="0" workbookViewId="0" topLeftCell="A1">
      <selection activeCell="J34" sqref="J34"/>
    </sheetView>
  </sheetViews>
  <sheetFormatPr defaultColWidth="8.8515625" defaultRowHeight="12.75"/>
  <cols>
    <col min="1" max="1" width="18.00390625" style="0" customWidth="1"/>
    <col min="2" max="4" width="10.7109375" style="0" customWidth="1"/>
    <col min="5" max="5" width="10.28125" style="0" customWidth="1"/>
    <col min="6" max="8" width="10.7109375" style="0" customWidth="1"/>
    <col min="9" max="10" width="10.28125" style="0" customWidth="1"/>
    <col min="13" max="22" width="9.140625" style="0" hidden="1" customWidth="1"/>
    <col min="23" max="29" width="9.140625" style="0" customWidth="1"/>
  </cols>
  <sheetData>
    <row r="1" spans="1:28" ht="22.5" customHeight="1">
      <c r="A1" s="125" t="s">
        <v>103</v>
      </c>
      <c r="B1" s="81"/>
      <c r="C1" s="81"/>
      <c r="D1" s="81"/>
      <c r="E1" s="36"/>
      <c r="G1" s="848">
        <f>IF(CompanyName="","",CompanyName)</f>
      </c>
      <c r="H1" s="848"/>
      <c r="I1" s="848"/>
      <c r="J1" s="848"/>
      <c r="AB1" s="13"/>
    </row>
    <row r="2" spans="1:28" ht="15.75" customHeight="1">
      <c r="A2" s="262" t="s">
        <v>256</v>
      </c>
      <c r="B2" s="82"/>
      <c r="C2" s="82"/>
      <c r="D2" s="82"/>
      <c r="E2" s="36"/>
      <c r="G2" s="973" t="s">
        <v>283</v>
      </c>
      <c r="H2" s="973"/>
      <c r="I2" s="972">
        <f>IF(ApprovalCode="","",ApprovalCode)</f>
      </c>
      <c r="J2" s="972"/>
      <c r="AB2" s="13"/>
    </row>
    <row r="3" spans="1:28" ht="20.25" customHeight="1">
      <c r="A3" s="92" t="s">
        <v>161</v>
      </c>
      <c r="B3" s="112"/>
      <c r="C3" s="112"/>
      <c r="D3" s="112"/>
      <c r="E3" s="6"/>
      <c r="F3" s="6"/>
      <c r="AB3" s="13"/>
    </row>
    <row r="4" spans="1:28" ht="8.25" customHeight="1">
      <c r="A4" s="113"/>
      <c r="B4" s="971"/>
      <c r="C4" s="971"/>
      <c r="D4" s="971"/>
      <c r="E4" s="4"/>
      <c r="AB4" s="13"/>
    </row>
    <row r="5" spans="1:22" ht="16.5" customHeight="1">
      <c r="A5" s="132" t="s">
        <v>476</v>
      </c>
      <c r="B5" s="155"/>
      <c r="C5" s="155"/>
      <c r="D5" s="155"/>
      <c r="E5" s="155"/>
      <c r="F5" s="155"/>
      <c r="G5" s="155"/>
      <c r="H5" s="155"/>
      <c r="I5" s="155"/>
      <c r="J5" s="155"/>
      <c r="N5" s="739" t="s">
        <v>33</v>
      </c>
      <c r="O5" s="740"/>
      <c r="P5" s="740"/>
      <c r="Q5" s="740"/>
      <c r="R5" s="740"/>
      <c r="S5" s="740"/>
      <c r="T5" s="740"/>
      <c r="U5" s="740"/>
      <c r="V5" s="740"/>
    </row>
    <row r="6" spans="1:9" ht="5.25" customHeight="1">
      <c r="A6" s="214"/>
      <c r="B6" s="214"/>
      <c r="C6" s="214"/>
      <c r="D6" s="214"/>
      <c r="E6" s="214"/>
      <c r="F6" s="214"/>
      <c r="G6" s="214"/>
      <c r="H6" s="214"/>
      <c r="I6" s="214"/>
    </row>
    <row r="7" spans="1:25" ht="12">
      <c r="A7" s="454"/>
      <c r="B7" s="467" t="s">
        <v>217</v>
      </c>
      <c r="C7" s="451"/>
      <c r="D7" s="451"/>
      <c r="E7" s="468"/>
      <c r="F7" s="464" t="s">
        <v>218</v>
      </c>
      <c r="G7" s="451"/>
      <c r="H7" s="451"/>
      <c r="I7" s="452"/>
      <c r="N7" s="741"/>
      <c r="O7" s="742" t="s">
        <v>217</v>
      </c>
      <c r="P7" s="743"/>
      <c r="Q7" s="744"/>
      <c r="R7" s="742" t="s">
        <v>218</v>
      </c>
      <c r="S7" s="743"/>
      <c r="T7" s="744"/>
      <c r="U7" s="745"/>
      <c r="V7" s="746"/>
      <c r="W7" s="4"/>
      <c r="X7" s="4"/>
      <c r="Y7" s="4"/>
    </row>
    <row r="8" spans="1:25" ht="12">
      <c r="A8" s="455" t="s">
        <v>219</v>
      </c>
      <c r="B8" s="460">
        <v>2</v>
      </c>
      <c r="C8" s="449">
        <v>4</v>
      </c>
      <c r="D8" s="449">
        <v>6</v>
      </c>
      <c r="E8" s="469" t="s">
        <v>477</v>
      </c>
      <c r="F8" s="450">
        <v>2</v>
      </c>
      <c r="G8" s="449">
        <v>4</v>
      </c>
      <c r="H8" s="449">
        <v>6</v>
      </c>
      <c r="I8" s="470" t="s">
        <v>477</v>
      </c>
      <c r="N8" s="747" t="s">
        <v>219</v>
      </c>
      <c r="O8" s="748">
        <v>2</v>
      </c>
      <c r="P8" s="749">
        <v>4</v>
      </c>
      <c r="Q8" s="750">
        <v>6</v>
      </c>
      <c r="R8" s="748">
        <v>2</v>
      </c>
      <c r="S8" s="749">
        <v>4</v>
      </c>
      <c r="T8" s="750">
        <v>6</v>
      </c>
      <c r="U8" s="751" t="s">
        <v>34</v>
      </c>
      <c r="V8" s="752"/>
      <c r="W8" s="4"/>
      <c r="X8" s="4"/>
      <c r="Y8" s="4"/>
    </row>
    <row r="9" spans="1:25" ht="12">
      <c r="A9" s="455" t="s">
        <v>163</v>
      </c>
      <c r="B9" s="460">
        <v>3600</v>
      </c>
      <c r="C9" s="449">
        <v>1800</v>
      </c>
      <c r="D9" s="449">
        <v>1200</v>
      </c>
      <c r="E9" s="470" t="s">
        <v>478</v>
      </c>
      <c r="F9" s="450">
        <v>3600</v>
      </c>
      <c r="G9" s="449">
        <v>1800</v>
      </c>
      <c r="H9" s="449">
        <v>1200</v>
      </c>
      <c r="I9" s="470" t="s">
        <v>478</v>
      </c>
      <c r="N9" s="747" t="s">
        <v>163</v>
      </c>
      <c r="O9" s="748">
        <v>3600</v>
      </c>
      <c r="P9" s="749">
        <v>1800</v>
      </c>
      <c r="Q9" s="750">
        <v>1200</v>
      </c>
      <c r="R9" s="748">
        <v>3600</v>
      </c>
      <c r="S9" s="749">
        <v>1800</v>
      </c>
      <c r="T9" s="750">
        <v>1200</v>
      </c>
      <c r="U9" s="753" t="s">
        <v>35</v>
      </c>
      <c r="V9" s="754" t="s">
        <v>36</v>
      </c>
      <c r="W9" s="4"/>
      <c r="X9" s="4"/>
      <c r="Y9" s="4"/>
    </row>
    <row r="10" spans="1:25" ht="12">
      <c r="A10" s="463" t="s">
        <v>479</v>
      </c>
      <c r="B10" s="461"/>
      <c r="C10" s="453"/>
      <c r="D10" s="453"/>
      <c r="E10" s="471"/>
      <c r="F10" s="465"/>
      <c r="G10" s="453"/>
      <c r="H10" s="453"/>
      <c r="I10" s="475"/>
      <c r="N10" s="755" t="s">
        <v>479</v>
      </c>
      <c r="O10" s="756"/>
      <c r="P10" s="757"/>
      <c r="Q10" s="758"/>
      <c r="R10" s="756"/>
      <c r="S10" s="757"/>
      <c r="T10" s="758"/>
      <c r="U10" s="759" t="s">
        <v>37</v>
      </c>
      <c r="V10" s="758" t="s">
        <v>38</v>
      </c>
      <c r="W10" s="4"/>
      <c r="X10" s="4"/>
      <c r="Y10" s="4"/>
    </row>
    <row r="11" spans="1:25" ht="12">
      <c r="A11" s="462">
        <v>1</v>
      </c>
      <c r="B11" s="458">
        <v>77</v>
      </c>
      <c r="C11" s="459">
        <v>85.5</v>
      </c>
      <c r="D11" s="459">
        <v>82.5</v>
      </c>
      <c r="E11" s="472">
        <v>12</v>
      </c>
      <c r="F11" s="466">
        <v>77</v>
      </c>
      <c r="G11" s="459">
        <v>85.5</v>
      </c>
      <c r="H11" s="459">
        <v>82.5</v>
      </c>
      <c r="I11" s="476">
        <v>11</v>
      </c>
      <c r="N11" s="760">
        <v>1</v>
      </c>
      <c r="O11" s="761">
        <v>75.5</v>
      </c>
      <c r="P11" s="762">
        <v>82.5</v>
      </c>
      <c r="Q11" s="763">
        <v>80</v>
      </c>
      <c r="R11" s="761">
        <v>75.5</v>
      </c>
      <c r="S11" s="762">
        <v>82.5</v>
      </c>
      <c r="T11" s="763">
        <v>80</v>
      </c>
      <c r="U11" s="764">
        <v>0.629</v>
      </c>
      <c r="V11" s="765">
        <v>2895</v>
      </c>
      <c r="W11" s="4"/>
      <c r="X11" s="4"/>
      <c r="Y11" s="4"/>
    </row>
    <row r="12" spans="1:25" ht="12">
      <c r="A12" s="456">
        <v>1.5</v>
      </c>
      <c r="B12" s="460">
        <v>84</v>
      </c>
      <c r="C12" s="449">
        <v>86.5</v>
      </c>
      <c r="D12" s="449">
        <v>86.5</v>
      </c>
      <c r="E12" s="473">
        <v>13</v>
      </c>
      <c r="F12" s="450">
        <v>84</v>
      </c>
      <c r="G12" s="449">
        <v>86.5</v>
      </c>
      <c r="H12" s="449">
        <v>87.5</v>
      </c>
      <c r="I12" s="477">
        <v>12</v>
      </c>
      <c r="N12" s="766">
        <v>1.5</v>
      </c>
      <c r="O12" s="748">
        <v>82.5</v>
      </c>
      <c r="P12" s="749">
        <v>84</v>
      </c>
      <c r="Q12" s="750">
        <v>84</v>
      </c>
      <c r="R12" s="748">
        <v>82.5</v>
      </c>
      <c r="S12" s="749">
        <v>84</v>
      </c>
      <c r="T12" s="750">
        <v>85.5</v>
      </c>
      <c r="U12" s="767">
        <v>0.629</v>
      </c>
      <c r="V12" s="768">
        <v>2895</v>
      </c>
      <c r="W12" s="4"/>
      <c r="X12" s="4"/>
      <c r="Y12" s="4"/>
    </row>
    <row r="13" spans="1:25" ht="12">
      <c r="A13" s="456">
        <v>2</v>
      </c>
      <c r="B13" s="460">
        <v>85.5</v>
      </c>
      <c r="C13" s="449">
        <v>86.5</v>
      </c>
      <c r="D13" s="449">
        <v>87.5</v>
      </c>
      <c r="E13" s="473">
        <v>16</v>
      </c>
      <c r="F13" s="450">
        <v>85.5</v>
      </c>
      <c r="G13" s="449">
        <v>86.5</v>
      </c>
      <c r="H13" s="449">
        <v>88.5</v>
      </c>
      <c r="I13" s="477">
        <v>16</v>
      </c>
      <c r="N13" s="766">
        <v>2</v>
      </c>
      <c r="O13" s="748">
        <v>84</v>
      </c>
      <c r="P13" s="749">
        <v>84</v>
      </c>
      <c r="Q13" s="750">
        <v>85.5</v>
      </c>
      <c r="R13" s="748">
        <v>84</v>
      </c>
      <c r="S13" s="749">
        <v>84</v>
      </c>
      <c r="T13" s="750">
        <v>86.5</v>
      </c>
      <c r="U13" s="767">
        <v>0.629</v>
      </c>
      <c r="V13" s="768">
        <v>2895</v>
      </c>
      <c r="W13" s="4"/>
      <c r="X13" s="4"/>
      <c r="Y13" s="4"/>
    </row>
    <row r="14" spans="1:25" ht="12">
      <c r="A14" s="456">
        <v>3</v>
      </c>
      <c r="B14" s="460">
        <v>85.5</v>
      </c>
      <c r="C14" s="449">
        <v>89.5</v>
      </c>
      <c r="D14" s="449">
        <v>88.5</v>
      </c>
      <c r="E14" s="473">
        <v>30</v>
      </c>
      <c r="F14" s="450">
        <v>86.5</v>
      </c>
      <c r="G14" s="449">
        <v>89.5</v>
      </c>
      <c r="H14" s="449">
        <v>89.5</v>
      </c>
      <c r="I14" s="477">
        <v>19</v>
      </c>
      <c r="N14" s="766">
        <v>3</v>
      </c>
      <c r="O14" s="748">
        <v>84</v>
      </c>
      <c r="P14" s="749">
        <v>86.5</v>
      </c>
      <c r="Q14" s="750">
        <v>86.5</v>
      </c>
      <c r="R14" s="748">
        <v>85.5</v>
      </c>
      <c r="S14" s="749">
        <v>87.5</v>
      </c>
      <c r="T14" s="750">
        <v>87.5</v>
      </c>
      <c r="U14" s="767">
        <v>0.629</v>
      </c>
      <c r="V14" s="768">
        <v>2895</v>
      </c>
      <c r="W14" s="4"/>
      <c r="X14" s="4"/>
      <c r="Y14" s="4"/>
    </row>
    <row r="15" spans="1:25" ht="12">
      <c r="A15" s="456">
        <v>5</v>
      </c>
      <c r="B15" s="460">
        <v>86.5</v>
      </c>
      <c r="C15" s="449">
        <v>89.5</v>
      </c>
      <c r="D15" s="449">
        <v>89.5</v>
      </c>
      <c r="E15" s="473">
        <v>32</v>
      </c>
      <c r="F15" s="450">
        <v>88.5</v>
      </c>
      <c r="G15" s="449">
        <v>89.5</v>
      </c>
      <c r="H15" s="449">
        <v>89.5</v>
      </c>
      <c r="I15" s="477">
        <v>32</v>
      </c>
      <c r="N15" s="766">
        <v>5</v>
      </c>
      <c r="O15" s="748">
        <v>85.5</v>
      </c>
      <c r="P15" s="749">
        <v>87.5</v>
      </c>
      <c r="Q15" s="750">
        <v>87.5</v>
      </c>
      <c r="R15" s="748">
        <v>87.5</v>
      </c>
      <c r="S15" s="749">
        <v>87.5</v>
      </c>
      <c r="T15" s="750">
        <v>87.5</v>
      </c>
      <c r="U15" s="767">
        <v>0.629</v>
      </c>
      <c r="V15" s="768">
        <v>2895</v>
      </c>
      <c r="W15" s="4"/>
      <c r="X15" s="4"/>
      <c r="Y15" s="4"/>
    </row>
    <row r="16" spans="1:25" ht="12">
      <c r="A16" s="456">
        <v>7.5</v>
      </c>
      <c r="B16" s="460">
        <v>88.5</v>
      </c>
      <c r="C16" s="449">
        <v>91</v>
      </c>
      <c r="D16" s="449">
        <v>90.2</v>
      </c>
      <c r="E16" s="473">
        <v>49</v>
      </c>
      <c r="F16" s="450">
        <v>89.5</v>
      </c>
      <c r="G16" s="449">
        <v>91.7</v>
      </c>
      <c r="H16" s="449">
        <v>91</v>
      </c>
      <c r="I16" s="477">
        <v>43</v>
      </c>
      <c r="N16" s="766">
        <v>7.5</v>
      </c>
      <c r="O16" s="748">
        <v>87.5</v>
      </c>
      <c r="P16" s="749">
        <v>88.5</v>
      </c>
      <c r="Q16" s="750">
        <v>88.5</v>
      </c>
      <c r="R16" s="748">
        <v>88.5</v>
      </c>
      <c r="S16" s="749">
        <v>89.5</v>
      </c>
      <c r="T16" s="750">
        <v>89.5</v>
      </c>
      <c r="U16" s="767">
        <v>0.5885</v>
      </c>
      <c r="V16" s="768">
        <v>3412</v>
      </c>
      <c r="W16" s="4"/>
      <c r="X16" s="4"/>
      <c r="Y16" s="4"/>
    </row>
    <row r="17" spans="1:25" ht="12">
      <c r="A17" s="456">
        <v>10</v>
      </c>
      <c r="B17" s="460">
        <v>89.5</v>
      </c>
      <c r="C17" s="449">
        <v>91.7</v>
      </c>
      <c r="D17" s="449">
        <v>91.7</v>
      </c>
      <c r="E17" s="473">
        <v>57</v>
      </c>
      <c r="F17" s="450">
        <v>90.2</v>
      </c>
      <c r="G17" s="449">
        <v>91.7</v>
      </c>
      <c r="H17" s="449">
        <v>91</v>
      </c>
      <c r="I17" s="477">
        <v>54</v>
      </c>
      <c r="N17" s="766">
        <v>10</v>
      </c>
      <c r="O17" s="748">
        <v>88.5</v>
      </c>
      <c r="P17" s="749">
        <v>89.5</v>
      </c>
      <c r="Q17" s="750">
        <v>90.2</v>
      </c>
      <c r="R17" s="748">
        <v>89.5</v>
      </c>
      <c r="S17" s="749">
        <v>89.5</v>
      </c>
      <c r="T17" s="750">
        <v>89.5</v>
      </c>
      <c r="U17" s="767">
        <v>0.5885</v>
      </c>
      <c r="V17" s="768">
        <v>3412</v>
      </c>
      <c r="W17" s="4"/>
      <c r="X17" s="4"/>
      <c r="Y17" s="4"/>
    </row>
    <row r="18" spans="1:22" ht="12">
      <c r="A18" s="456">
        <v>15</v>
      </c>
      <c r="B18" s="460">
        <v>90.2</v>
      </c>
      <c r="C18" s="449">
        <v>93</v>
      </c>
      <c r="D18" s="449">
        <v>91.7</v>
      </c>
      <c r="E18" s="473">
        <v>75</v>
      </c>
      <c r="F18" s="450">
        <v>91</v>
      </c>
      <c r="G18" s="449">
        <v>92.4</v>
      </c>
      <c r="H18" s="449">
        <v>91.7</v>
      </c>
      <c r="I18" s="477">
        <v>66</v>
      </c>
      <c r="N18" s="766">
        <v>15</v>
      </c>
      <c r="O18" s="748">
        <v>89.5</v>
      </c>
      <c r="P18" s="749">
        <v>91</v>
      </c>
      <c r="Q18" s="750">
        <v>90.2</v>
      </c>
      <c r="R18" s="748">
        <v>90.2</v>
      </c>
      <c r="S18" s="749">
        <v>91</v>
      </c>
      <c r="T18" s="750">
        <v>90.2</v>
      </c>
      <c r="U18" s="767">
        <v>0.5885</v>
      </c>
      <c r="V18" s="768">
        <v>3412</v>
      </c>
    </row>
    <row r="19" spans="1:22" ht="12">
      <c r="A19" s="456">
        <v>20</v>
      </c>
      <c r="B19" s="460">
        <v>91</v>
      </c>
      <c r="C19" s="449">
        <v>93</v>
      </c>
      <c r="D19" s="449">
        <v>92.4</v>
      </c>
      <c r="E19" s="473">
        <v>100</v>
      </c>
      <c r="F19" s="450">
        <v>91</v>
      </c>
      <c r="G19" s="449">
        <v>93</v>
      </c>
      <c r="H19" s="449">
        <v>91.7</v>
      </c>
      <c r="I19" s="477">
        <v>102</v>
      </c>
      <c r="N19" s="766">
        <v>20</v>
      </c>
      <c r="O19" s="748">
        <v>90.2</v>
      </c>
      <c r="P19" s="749">
        <v>91</v>
      </c>
      <c r="Q19" s="750">
        <v>91</v>
      </c>
      <c r="R19" s="748">
        <v>90.2</v>
      </c>
      <c r="S19" s="749">
        <v>91</v>
      </c>
      <c r="T19" s="750">
        <v>90.2</v>
      </c>
      <c r="U19" s="767">
        <v>0.5885</v>
      </c>
      <c r="V19" s="768">
        <v>3412</v>
      </c>
    </row>
    <row r="20" spans="1:22" ht="12">
      <c r="A20" s="456">
        <v>25</v>
      </c>
      <c r="B20" s="460">
        <v>91.7</v>
      </c>
      <c r="C20" s="449">
        <v>93.6</v>
      </c>
      <c r="D20" s="449">
        <v>93</v>
      </c>
      <c r="E20" s="473">
        <v>114</v>
      </c>
      <c r="F20" s="450">
        <v>91.7</v>
      </c>
      <c r="G20" s="449">
        <v>93.6</v>
      </c>
      <c r="H20" s="449">
        <v>93</v>
      </c>
      <c r="I20" s="477">
        <v>93</v>
      </c>
      <c r="N20" s="766">
        <v>25</v>
      </c>
      <c r="O20" s="748">
        <v>91</v>
      </c>
      <c r="P20" s="749">
        <v>91.7</v>
      </c>
      <c r="Q20" s="750">
        <v>91.7</v>
      </c>
      <c r="R20" s="748">
        <v>91</v>
      </c>
      <c r="S20" s="749">
        <v>92.4</v>
      </c>
      <c r="T20" s="750">
        <v>91.7</v>
      </c>
      <c r="U20" s="767">
        <v>0.629</v>
      </c>
      <c r="V20" s="768">
        <v>3855</v>
      </c>
    </row>
    <row r="21" spans="1:22" ht="12">
      <c r="A21" s="456">
        <v>30</v>
      </c>
      <c r="B21" s="460">
        <v>91.7</v>
      </c>
      <c r="C21" s="449">
        <v>94.1</v>
      </c>
      <c r="D21" s="449">
        <v>93.6</v>
      </c>
      <c r="E21" s="473">
        <v>125</v>
      </c>
      <c r="F21" s="450">
        <v>91.7</v>
      </c>
      <c r="G21" s="449">
        <v>93.6</v>
      </c>
      <c r="H21" s="449">
        <v>93</v>
      </c>
      <c r="I21" s="477">
        <v>112</v>
      </c>
      <c r="N21" s="766">
        <v>30</v>
      </c>
      <c r="O21" s="748">
        <v>91</v>
      </c>
      <c r="P21" s="749">
        <v>92.4</v>
      </c>
      <c r="Q21" s="750">
        <v>92.4</v>
      </c>
      <c r="R21" s="748">
        <v>91</v>
      </c>
      <c r="S21" s="749">
        <v>92.4</v>
      </c>
      <c r="T21" s="750">
        <v>91.7</v>
      </c>
      <c r="U21" s="767">
        <v>0.629</v>
      </c>
      <c r="V21" s="768">
        <v>3855</v>
      </c>
    </row>
    <row r="22" spans="1:22" ht="12">
      <c r="A22" s="456">
        <v>40</v>
      </c>
      <c r="B22" s="460">
        <v>92.4</v>
      </c>
      <c r="C22" s="449">
        <v>94.1</v>
      </c>
      <c r="D22" s="449">
        <v>94.1</v>
      </c>
      <c r="E22" s="473">
        <v>133</v>
      </c>
      <c r="F22" s="450">
        <v>92.4</v>
      </c>
      <c r="G22" s="449">
        <v>94.1</v>
      </c>
      <c r="H22" s="449">
        <v>94.1</v>
      </c>
      <c r="I22" s="477">
        <v>133</v>
      </c>
      <c r="N22" s="766">
        <v>40</v>
      </c>
      <c r="O22" s="748">
        <v>91.7</v>
      </c>
      <c r="P22" s="749">
        <v>93</v>
      </c>
      <c r="Q22" s="750">
        <v>93</v>
      </c>
      <c r="R22" s="748">
        <v>91.7</v>
      </c>
      <c r="S22" s="749">
        <v>93</v>
      </c>
      <c r="T22" s="750">
        <v>93</v>
      </c>
      <c r="U22" s="767">
        <v>0.629</v>
      </c>
      <c r="V22" s="768">
        <v>3855</v>
      </c>
    </row>
    <row r="23" spans="1:22" ht="12">
      <c r="A23" s="456">
        <v>50</v>
      </c>
      <c r="B23" s="460">
        <v>93</v>
      </c>
      <c r="C23" s="449">
        <v>94.5</v>
      </c>
      <c r="D23" s="449">
        <v>94.1</v>
      </c>
      <c r="E23" s="473">
        <v>182</v>
      </c>
      <c r="F23" s="450">
        <v>93</v>
      </c>
      <c r="G23" s="449">
        <v>94.5</v>
      </c>
      <c r="H23" s="449">
        <v>94.1</v>
      </c>
      <c r="I23" s="477">
        <v>182</v>
      </c>
      <c r="N23" s="766">
        <v>50</v>
      </c>
      <c r="O23" s="748">
        <v>92.4</v>
      </c>
      <c r="P23" s="749">
        <v>93</v>
      </c>
      <c r="Q23" s="750">
        <v>93</v>
      </c>
      <c r="R23" s="748">
        <v>92.4</v>
      </c>
      <c r="S23" s="749">
        <v>93</v>
      </c>
      <c r="T23" s="750">
        <v>93</v>
      </c>
      <c r="U23" s="767">
        <v>0.629</v>
      </c>
      <c r="V23" s="768">
        <v>3855</v>
      </c>
    </row>
    <row r="24" spans="1:22" ht="12">
      <c r="A24" s="456">
        <v>60</v>
      </c>
      <c r="B24" s="460">
        <v>93.6</v>
      </c>
      <c r="C24" s="449">
        <v>95</v>
      </c>
      <c r="D24" s="449">
        <v>94.5</v>
      </c>
      <c r="E24" s="473">
        <v>196</v>
      </c>
      <c r="F24" s="450">
        <v>93.6</v>
      </c>
      <c r="G24" s="449">
        <v>95</v>
      </c>
      <c r="H24" s="449">
        <v>94.5</v>
      </c>
      <c r="I24" s="477">
        <v>196</v>
      </c>
      <c r="N24" s="766">
        <v>60</v>
      </c>
      <c r="O24" s="748">
        <v>93</v>
      </c>
      <c r="P24" s="749">
        <v>93.6</v>
      </c>
      <c r="Q24" s="750">
        <v>93.6</v>
      </c>
      <c r="R24" s="748">
        <v>93</v>
      </c>
      <c r="S24" s="749">
        <v>93.6</v>
      </c>
      <c r="T24" s="750">
        <v>93.6</v>
      </c>
      <c r="U24" s="767">
        <v>0.602</v>
      </c>
      <c r="V24" s="768">
        <v>4961</v>
      </c>
    </row>
    <row r="25" spans="1:22" ht="12">
      <c r="A25" s="456">
        <v>75</v>
      </c>
      <c r="B25" s="460">
        <v>93.6</v>
      </c>
      <c r="C25" s="449">
        <v>95</v>
      </c>
      <c r="D25" s="449">
        <v>94.5</v>
      </c>
      <c r="E25" s="473">
        <v>202</v>
      </c>
      <c r="F25" s="450">
        <v>93.6</v>
      </c>
      <c r="G25" s="449">
        <v>95.4</v>
      </c>
      <c r="H25" s="449">
        <v>94.5</v>
      </c>
      <c r="I25" s="477">
        <v>235</v>
      </c>
      <c r="N25" s="766">
        <v>75</v>
      </c>
      <c r="O25" s="748">
        <v>93</v>
      </c>
      <c r="P25" s="749">
        <v>94.1</v>
      </c>
      <c r="Q25" s="750">
        <v>93.6</v>
      </c>
      <c r="R25" s="748">
        <v>93</v>
      </c>
      <c r="S25" s="749">
        <v>94.1</v>
      </c>
      <c r="T25" s="750">
        <v>93.6</v>
      </c>
      <c r="U25" s="767">
        <v>0.602</v>
      </c>
      <c r="V25" s="768">
        <v>4961</v>
      </c>
    </row>
    <row r="26" spans="1:22" ht="12">
      <c r="A26" s="456">
        <v>100</v>
      </c>
      <c r="B26" s="460">
        <v>93.6</v>
      </c>
      <c r="C26" s="449">
        <v>95.4</v>
      </c>
      <c r="D26" s="449">
        <v>95</v>
      </c>
      <c r="E26" s="473">
        <v>313</v>
      </c>
      <c r="F26" s="450">
        <v>94.1</v>
      </c>
      <c r="G26" s="449">
        <v>95.4</v>
      </c>
      <c r="H26" s="449">
        <v>95</v>
      </c>
      <c r="I26" s="477">
        <v>256</v>
      </c>
      <c r="N26" s="766">
        <v>100</v>
      </c>
      <c r="O26" s="748">
        <v>93</v>
      </c>
      <c r="P26" s="749">
        <v>94.1</v>
      </c>
      <c r="Q26" s="750">
        <v>94.1</v>
      </c>
      <c r="R26" s="748">
        <v>93.6</v>
      </c>
      <c r="S26" s="749">
        <v>94.5</v>
      </c>
      <c r="T26" s="750">
        <v>94.1</v>
      </c>
      <c r="U26" s="767">
        <v>0.602</v>
      </c>
      <c r="V26" s="768">
        <v>4961</v>
      </c>
    </row>
    <row r="27" spans="1:22" ht="12">
      <c r="A27" s="456">
        <v>125</v>
      </c>
      <c r="B27" s="460">
        <v>94.1</v>
      </c>
      <c r="C27" s="449">
        <v>95.4</v>
      </c>
      <c r="D27" s="449">
        <v>95</v>
      </c>
      <c r="E27" s="473">
        <v>320</v>
      </c>
      <c r="F27" s="450">
        <v>95</v>
      </c>
      <c r="G27" s="449">
        <v>95.4</v>
      </c>
      <c r="H27" s="449">
        <v>95</v>
      </c>
      <c r="I27" s="477">
        <v>319</v>
      </c>
      <c r="N27" s="766">
        <v>125</v>
      </c>
      <c r="O27" s="748">
        <v>93.6</v>
      </c>
      <c r="P27" s="749">
        <v>94.5</v>
      </c>
      <c r="Q27" s="750">
        <v>94.1</v>
      </c>
      <c r="R27" s="748">
        <v>94.5</v>
      </c>
      <c r="S27" s="749">
        <v>94.5</v>
      </c>
      <c r="T27" s="750">
        <v>94.1</v>
      </c>
      <c r="U27" s="767">
        <v>0.6965000000000001</v>
      </c>
      <c r="V27" s="768">
        <v>5288</v>
      </c>
    </row>
    <row r="28" spans="1:22" ht="12">
      <c r="A28" s="456">
        <v>150</v>
      </c>
      <c r="B28" s="460">
        <v>94.1</v>
      </c>
      <c r="C28" s="449">
        <v>95.8</v>
      </c>
      <c r="D28" s="449">
        <v>95.4</v>
      </c>
      <c r="E28" s="473">
        <v>365</v>
      </c>
      <c r="F28" s="450">
        <v>95</v>
      </c>
      <c r="G28" s="449">
        <v>95.8</v>
      </c>
      <c r="H28" s="449">
        <v>95.8</v>
      </c>
      <c r="I28" s="477">
        <v>345</v>
      </c>
      <c r="N28" s="766">
        <v>150</v>
      </c>
      <c r="O28" s="748">
        <v>93.6</v>
      </c>
      <c r="P28" s="749">
        <v>95</v>
      </c>
      <c r="Q28" s="750">
        <v>94.5</v>
      </c>
      <c r="R28" s="748">
        <v>94.5</v>
      </c>
      <c r="S28" s="749">
        <v>95</v>
      </c>
      <c r="T28" s="750">
        <v>95</v>
      </c>
      <c r="U28" s="767">
        <v>0.6965000000000001</v>
      </c>
      <c r="V28" s="768">
        <v>5288</v>
      </c>
    </row>
    <row r="29" spans="1:22" ht="12">
      <c r="A29" s="457">
        <v>200</v>
      </c>
      <c r="B29" s="461">
        <v>95</v>
      </c>
      <c r="C29" s="453">
        <v>95.8</v>
      </c>
      <c r="D29" s="453">
        <v>95.4</v>
      </c>
      <c r="E29" s="474">
        <v>484</v>
      </c>
      <c r="F29" s="465">
        <v>95.4</v>
      </c>
      <c r="G29" s="453">
        <v>96.2</v>
      </c>
      <c r="H29" s="453">
        <v>95.8</v>
      </c>
      <c r="I29" s="478">
        <v>524</v>
      </c>
      <c r="N29" s="769">
        <v>200</v>
      </c>
      <c r="O29" s="756">
        <v>94.5</v>
      </c>
      <c r="P29" s="757">
        <v>95</v>
      </c>
      <c r="Q29" s="758">
        <v>94.5</v>
      </c>
      <c r="R29" s="756">
        <v>95</v>
      </c>
      <c r="S29" s="757">
        <v>95</v>
      </c>
      <c r="T29" s="758">
        <v>95</v>
      </c>
      <c r="U29" s="770">
        <v>0.6965000000000001</v>
      </c>
      <c r="V29" s="771">
        <v>5288</v>
      </c>
    </row>
    <row r="30" spans="1:9" ht="12">
      <c r="A30" s="225"/>
      <c r="B30" s="225"/>
      <c r="C30" s="225"/>
      <c r="D30" s="225"/>
      <c r="E30" s="226"/>
      <c r="F30" s="225"/>
      <c r="G30" s="225"/>
      <c r="H30" s="225"/>
      <c r="I30" s="227"/>
    </row>
    <row r="31" spans="1:16" ht="15">
      <c r="A31" s="132" t="s">
        <v>168</v>
      </c>
      <c r="B31" s="155"/>
      <c r="C31" s="155"/>
      <c r="D31" s="155"/>
      <c r="E31" s="155"/>
      <c r="F31" s="155"/>
      <c r="G31" s="155"/>
      <c r="H31" s="155"/>
      <c r="I31" s="155"/>
      <c r="J31" s="155"/>
      <c r="N31" s="772" t="s">
        <v>39</v>
      </c>
      <c r="O31" s="18"/>
      <c r="P31" s="773">
        <v>0.055</v>
      </c>
    </row>
    <row r="32" spans="1:15" ht="27" customHeight="1">
      <c r="A32" s="228" t="s">
        <v>339</v>
      </c>
      <c r="B32" s="229"/>
      <c r="C32" s="229"/>
      <c r="D32" s="229"/>
      <c r="E32" s="230"/>
      <c r="F32" s="229"/>
      <c r="G32" s="229"/>
      <c r="H32" s="229"/>
      <c r="I32" s="231"/>
      <c r="O32" s="360"/>
    </row>
    <row r="33" spans="1:17" ht="48">
      <c r="A33" s="431" t="s">
        <v>480</v>
      </c>
      <c r="B33" s="431" t="s">
        <v>481</v>
      </c>
      <c r="C33" s="431" t="s">
        <v>482</v>
      </c>
      <c r="D33" s="431" t="s">
        <v>483</v>
      </c>
      <c r="E33" s="431" t="s">
        <v>484</v>
      </c>
      <c r="F33" s="431" t="s">
        <v>485</v>
      </c>
      <c r="G33" s="415" t="s">
        <v>164</v>
      </c>
      <c r="H33" s="416" t="s">
        <v>486</v>
      </c>
      <c r="I33" s="417" t="s">
        <v>165</v>
      </c>
      <c r="J33" s="417" t="s">
        <v>166</v>
      </c>
      <c r="N33" s="774" t="s">
        <v>40</v>
      </c>
      <c r="O33" s="775" t="s">
        <v>41</v>
      </c>
      <c r="P33" s="776"/>
      <c r="Q33" s="776"/>
    </row>
    <row r="34" spans="1:15" ht="18" customHeight="1">
      <c r="A34" s="433"/>
      <c r="B34" s="434"/>
      <c r="C34" s="434"/>
      <c r="D34" s="434"/>
      <c r="E34" s="435"/>
      <c r="F34" s="434"/>
      <c r="G34" s="439">
        <f aca="true" t="shared" si="0" ref="G34:G43">IF(OR(C34="",D34="",E34="",F34=""),"",IF(F34&gt;=VLOOKUP(C34,$A$11:$I$29,MATCH(D34,$A$9:$D$9,0)+IF(E34="TEFC",4,0),0),VLOOKUP(C34,$A$11:$I$29,IF(E34="TEFC",9,5),0),""))</f>
      </c>
      <c r="H34" s="436">
        <f>IF(OR(B34="",C34="",D34="",E34="",F34="",G34=""),"",B34*G34)</f>
      </c>
      <c r="I34" s="785">
        <f>IF(H34="","",O34*VLOOKUP(C34,$N$11:$V$29,MATCH($V$9,$N$9:$V$9,0),0))</f>
      </c>
      <c r="J34" s="786">
        <f>IF(H34="","",I34*$P$31)</f>
      </c>
      <c r="N34" s="777">
        <f aca="true" t="shared" si="1" ref="N34:N43">IF(H34="","",VLOOKUP(C34,$N$11:$T$29,MATCH(D34,$N$9:$Q$9,0)+IF(E34="TEFC",3,0),0))</f>
      </c>
      <c r="O34" s="778">
        <f aca="true" t="shared" si="2" ref="O34:O43">IF(H34="","",B34*C34*0.746*VLOOKUP(C34,$N$11:$V$29,MATCH($U$9,$N$9:$V$9,0),0)*(1/(N34/100)-1/(F34/100)))</f>
      </c>
    </row>
    <row r="35" spans="1:15" ht="18" customHeight="1">
      <c r="A35" s="437"/>
      <c r="B35" s="438"/>
      <c r="C35" s="438"/>
      <c r="D35" s="438"/>
      <c r="E35" s="438"/>
      <c r="F35" s="438"/>
      <c r="G35" s="439">
        <f t="shared" si="0"/>
      </c>
      <c r="H35" s="440">
        <f aca="true" t="shared" si="3" ref="H35:H43">IF(OR(B35="",C35="",D35="",E35="",F35="",G35=""),"",B35*G35)</f>
      </c>
      <c r="I35" s="441">
        <f aca="true" t="shared" si="4" ref="I35:I43">IF(H35="","",O35*VLOOKUP(C35,$N$11:$V$29,MATCH($V$9,$N$9:$V$9,0),0))</f>
      </c>
      <c r="J35" s="442">
        <f aca="true" t="shared" si="5" ref="J35:J43">IF(H35="","",I35*$P$31)</f>
      </c>
      <c r="N35" s="779">
        <f t="shared" si="1"/>
      </c>
      <c r="O35" s="780">
        <f t="shared" si="2"/>
      </c>
    </row>
    <row r="36" spans="1:15" ht="18" customHeight="1">
      <c r="A36" s="437"/>
      <c r="B36" s="438"/>
      <c r="C36" s="438"/>
      <c r="D36" s="438"/>
      <c r="E36" s="443"/>
      <c r="F36" s="438"/>
      <c r="G36" s="439">
        <f t="shared" si="0"/>
      </c>
      <c r="H36" s="440">
        <f t="shared" si="3"/>
      </c>
      <c r="I36" s="441">
        <f t="shared" si="4"/>
      </c>
      <c r="J36" s="442">
        <f t="shared" si="5"/>
      </c>
      <c r="N36" s="779">
        <f t="shared" si="1"/>
      </c>
      <c r="O36" s="780">
        <f t="shared" si="2"/>
      </c>
    </row>
    <row r="37" spans="1:15" ht="18" customHeight="1">
      <c r="A37" s="444"/>
      <c r="B37" s="438"/>
      <c r="C37" s="438"/>
      <c r="D37" s="438"/>
      <c r="E37" s="438"/>
      <c r="F37" s="438"/>
      <c r="G37" s="439">
        <f t="shared" si="0"/>
      </c>
      <c r="H37" s="440">
        <f t="shared" si="3"/>
      </c>
      <c r="I37" s="441">
        <f t="shared" si="4"/>
      </c>
      <c r="J37" s="442">
        <f t="shared" si="5"/>
      </c>
      <c r="N37" s="779">
        <f t="shared" si="1"/>
      </c>
      <c r="O37" s="780">
        <f t="shared" si="2"/>
      </c>
    </row>
    <row r="38" spans="1:15" ht="18" customHeight="1">
      <c r="A38" s="444"/>
      <c r="B38" s="438"/>
      <c r="C38" s="438"/>
      <c r="D38" s="438"/>
      <c r="E38" s="438"/>
      <c r="F38" s="438"/>
      <c r="G38" s="439">
        <f t="shared" si="0"/>
      </c>
      <c r="H38" s="440">
        <f t="shared" si="3"/>
      </c>
      <c r="I38" s="441">
        <f t="shared" si="4"/>
      </c>
      <c r="J38" s="442">
        <f t="shared" si="5"/>
      </c>
      <c r="N38" s="779">
        <f t="shared" si="1"/>
      </c>
      <c r="O38" s="780">
        <f t="shared" si="2"/>
      </c>
    </row>
    <row r="39" spans="1:15" ht="18" customHeight="1">
      <c r="A39" s="444"/>
      <c r="B39" s="438"/>
      <c r="C39" s="438"/>
      <c r="D39" s="438"/>
      <c r="E39" s="438"/>
      <c r="F39" s="438"/>
      <c r="G39" s="439">
        <f t="shared" si="0"/>
      </c>
      <c r="H39" s="440">
        <f t="shared" si="3"/>
      </c>
      <c r="I39" s="441">
        <f t="shared" si="4"/>
      </c>
      <c r="J39" s="442">
        <f t="shared" si="5"/>
      </c>
      <c r="N39" s="779">
        <f t="shared" si="1"/>
      </c>
      <c r="O39" s="780">
        <f t="shared" si="2"/>
      </c>
    </row>
    <row r="40" spans="1:15" ht="18" customHeight="1">
      <c r="A40" s="444"/>
      <c r="B40" s="438"/>
      <c r="C40" s="438"/>
      <c r="D40" s="438"/>
      <c r="E40" s="438"/>
      <c r="F40" s="438"/>
      <c r="G40" s="439">
        <f t="shared" si="0"/>
      </c>
      <c r="H40" s="440">
        <f t="shared" si="3"/>
      </c>
      <c r="I40" s="441">
        <f t="shared" si="4"/>
      </c>
      <c r="J40" s="442">
        <f t="shared" si="5"/>
      </c>
      <c r="N40" s="779">
        <f t="shared" si="1"/>
      </c>
      <c r="O40" s="780">
        <f t="shared" si="2"/>
      </c>
    </row>
    <row r="41" spans="1:15" ht="18" customHeight="1">
      <c r="A41" s="444"/>
      <c r="B41" s="438"/>
      <c r="C41" s="438"/>
      <c r="D41" s="438"/>
      <c r="E41" s="438"/>
      <c r="F41" s="438"/>
      <c r="G41" s="439">
        <f t="shared" si="0"/>
      </c>
      <c r="H41" s="440">
        <f t="shared" si="3"/>
      </c>
      <c r="I41" s="441">
        <f t="shared" si="4"/>
      </c>
      <c r="J41" s="442">
        <f t="shared" si="5"/>
      </c>
      <c r="N41" s="779">
        <f t="shared" si="1"/>
      </c>
      <c r="O41" s="780">
        <f t="shared" si="2"/>
      </c>
    </row>
    <row r="42" spans="1:15" ht="18" customHeight="1">
      <c r="A42" s="444"/>
      <c r="B42" s="438"/>
      <c r="C42" s="438"/>
      <c r="D42" s="438"/>
      <c r="E42" s="438"/>
      <c r="F42" s="438"/>
      <c r="G42" s="439">
        <f t="shared" si="0"/>
      </c>
      <c r="H42" s="440">
        <f t="shared" si="3"/>
      </c>
      <c r="I42" s="441">
        <f t="shared" si="4"/>
      </c>
      <c r="J42" s="442">
        <f t="shared" si="5"/>
      </c>
      <c r="N42" s="779">
        <f t="shared" si="1"/>
      </c>
      <c r="O42" s="780">
        <f t="shared" si="2"/>
      </c>
    </row>
    <row r="43" spans="1:15" ht="18" customHeight="1">
      <c r="A43" s="445"/>
      <c r="B43" s="446"/>
      <c r="C43" s="446"/>
      <c r="D43" s="446"/>
      <c r="E43" s="446"/>
      <c r="F43" s="446"/>
      <c r="G43" s="447">
        <f t="shared" si="0"/>
      </c>
      <c r="H43" s="448">
        <f t="shared" si="3"/>
      </c>
      <c r="I43" s="785">
        <f t="shared" si="4"/>
      </c>
      <c r="J43" s="786">
        <f t="shared" si="5"/>
      </c>
      <c r="N43" s="781">
        <f t="shared" si="1"/>
      </c>
      <c r="O43" s="782">
        <f t="shared" si="2"/>
      </c>
    </row>
    <row r="44" spans="1:15" ht="24.75" customHeight="1">
      <c r="A44" s="482" t="s">
        <v>487</v>
      </c>
      <c r="B44" s="483">
        <f>SUM(B34:B43)</f>
        <v>0</v>
      </c>
      <c r="C44" s="432"/>
      <c r="D44" s="432"/>
      <c r="E44" s="432">
        <f>IF(SUM(E34:E43)=0,"",SUM(E34:E43))</f>
      </c>
      <c r="F44" s="432"/>
      <c r="G44" s="484"/>
      <c r="H44" s="495">
        <f>SUM(H34:H43)</f>
        <v>0</v>
      </c>
      <c r="I44" s="479">
        <f>SUM(I34:I43)</f>
        <v>0</v>
      </c>
      <c r="J44" s="480">
        <f>SUM(J34:J43)</f>
        <v>0</v>
      </c>
      <c r="N44" s="783" t="s">
        <v>42</v>
      </c>
      <c r="O44" s="784">
        <f>SUM(O34:O43)</f>
        <v>0</v>
      </c>
    </row>
    <row r="45" spans="1:9" s="13" customFormat="1" ht="12">
      <c r="A45" s="52"/>
      <c r="B45" s="481"/>
      <c r="C45" s="100"/>
      <c r="D45" s="100"/>
      <c r="E45" s="100"/>
      <c r="F45" s="100"/>
      <c r="G45" s="100"/>
      <c r="H45" s="233"/>
      <c r="I45" s="100"/>
    </row>
    <row r="46" s="13" customFormat="1" ht="12">
      <c r="A46" s="13" t="s">
        <v>172</v>
      </c>
    </row>
    <row r="47" s="13" customFormat="1" ht="12">
      <c r="A47" s="13" t="s">
        <v>169</v>
      </c>
    </row>
  </sheetData>
  <sheetProtection sheet="1"/>
  <protectedRanges>
    <protectedRange sqref="A34:B43 E34:E43" name="Range1"/>
    <protectedRange sqref="C34:C43" name="Range1_1"/>
    <protectedRange sqref="D34:D43" name="Range1_2"/>
    <protectedRange sqref="F34:F43" name="Range1_3"/>
  </protectedRanges>
  <mergeCells count="4">
    <mergeCell ref="B4:D4"/>
    <mergeCell ref="G1:J1"/>
    <mergeCell ref="I2:J2"/>
    <mergeCell ref="G2:H2"/>
  </mergeCells>
  <dataValidations count="4">
    <dataValidation type="decimal" allowBlank="1" showInputMessage="1" showErrorMessage="1" errorTitle="Note" error="Enter efficiency as a number between 1 and 100." sqref="F34:F43">
      <formula1>1</formula1>
      <formula2>100</formula2>
    </dataValidation>
    <dataValidation type="list" allowBlank="1" showInputMessage="1" showErrorMessage="1" error="Choose a motor speed (RPM) from the dropdown menu or manually enter one that matches the values in the table above.  If none of the options applies to your motor, contact Platte River Energy Services for assistance." sqref="D34:D43">
      <formula1>MotorRPMList</formula1>
    </dataValidation>
    <dataValidation type="list" allowBlank="1" showInputMessage="1" showErrorMessage="1" error="Choose either OPD (Open Drip Proof) or TEFC (Totally Enclosed Fan Cooled).  If neither applies to your motor, contact Platte River Energy Services for assistance." sqref="E34:E43">
      <formula1>"ODP, TEFC"</formula1>
    </dataValidation>
    <dataValidation type="list" allowBlank="1" showInputMessage="1" showErrorMessage="1" error="Choose a motor horsepower from the dropdown menu or manually enter one that matches the values in the table above.  If none of the options applies to your motor, contact Platte River Energy Services for assistance." sqref="C34:C43">
      <formula1>MotorHPList</formula1>
    </dataValidation>
  </dataValidations>
  <printOptions/>
  <pageMargins left="0.37" right="0.29" top="0.26" bottom="0.21" header="0.18" footer="0.17"/>
  <pageSetup horizontalDpi="600" verticalDpi="600" orientation="portrait" scale="85"/>
  <headerFooter alignWithMargins="0">
    <oddFooter>&amp;R&amp;8&amp;F</oddFooter>
  </headerFooter>
</worksheet>
</file>

<file path=xl/worksheets/sheet9.xml><?xml version="1.0" encoding="utf-8"?>
<worksheet xmlns="http://schemas.openxmlformats.org/spreadsheetml/2006/main" xmlns:r="http://schemas.openxmlformats.org/officeDocument/2006/relationships">
  <dimension ref="A1:V81"/>
  <sheetViews>
    <sheetView showGridLines="0" zoomScalePageLayoutView="0" workbookViewId="0" topLeftCell="A1">
      <selection activeCell="C8" sqref="C8:I8"/>
    </sheetView>
  </sheetViews>
  <sheetFormatPr defaultColWidth="8.8515625" defaultRowHeight="12.75"/>
  <cols>
    <col min="1" max="1" width="7.28125" style="0" customWidth="1"/>
    <col min="2" max="2" width="2.421875" style="0" customWidth="1"/>
    <col min="5" max="5" width="17.00390625" style="0" customWidth="1"/>
    <col min="6" max="6" width="8.7109375" style="0" customWidth="1"/>
    <col min="12" max="12" width="10.7109375" style="0" customWidth="1"/>
    <col min="13" max="13" width="15.00390625" style="0" customWidth="1"/>
    <col min="21" max="25" width="0" style="0" hidden="1" customWidth="1"/>
  </cols>
  <sheetData>
    <row r="1" spans="1:13" ht="22.5" customHeight="1">
      <c r="A1" s="125" t="s">
        <v>103</v>
      </c>
      <c r="B1" s="78"/>
      <c r="C1" s="78"/>
      <c r="D1" s="78"/>
      <c r="E1" s="78"/>
      <c r="F1" s="78"/>
      <c r="G1" s="78"/>
      <c r="H1" s="78"/>
      <c r="I1" s="60"/>
      <c r="J1" s="848">
        <f>IF(CompanyName="","",CompanyName)</f>
      </c>
      <c r="K1" s="848"/>
      <c r="L1" s="848"/>
      <c r="M1" s="848"/>
    </row>
    <row r="2" spans="1:13" ht="15.75" customHeight="1">
      <c r="A2" s="262" t="s">
        <v>256</v>
      </c>
      <c r="B2" s="78"/>
      <c r="C2" s="78"/>
      <c r="D2" s="78"/>
      <c r="E2" s="78"/>
      <c r="F2" s="78"/>
      <c r="G2" s="78"/>
      <c r="H2" s="78"/>
      <c r="I2" s="60"/>
      <c r="J2" s="973" t="s">
        <v>283</v>
      </c>
      <c r="K2" s="973"/>
      <c r="L2" s="858">
        <f>IF(ApprovalCode="","",ApprovalCode)</f>
      </c>
      <c r="M2" s="858"/>
    </row>
    <row r="3" spans="1:22" ht="20.25" customHeight="1" thickBot="1">
      <c r="A3" s="92" t="s">
        <v>159</v>
      </c>
      <c r="B3" s="78"/>
      <c r="C3" s="78"/>
      <c r="D3" s="78"/>
      <c r="E3" s="78"/>
      <c r="F3" s="78"/>
      <c r="G3" s="78"/>
      <c r="H3" s="78" t="s">
        <v>216</v>
      </c>
      <c r="I3" s="60"/>
      <c r="J3" s="515"/>
      <c r="K3" s="490"/>
      <c r="L3" s="490"/>
      <c r="M3" s="490"/>
      <c r="V3" t="s">
        <v>43</v>
      </c>
    </row>
    <row r="4" spans="1:22" ht="8.25" customHeight="1">
      <c r="A4" s="125"/>
      <c r="B4" s="78"/>
      <c r="C4" s="78"/>
      <c r="D4" s="78"/>
      <c r="E4" s="78"/>
      <c r="F4" s="78"/>
      <c r="G4" s="78"/>
      <c r="H4" s="78"/>
      <c r="I4" s="60"/>
      <c r="J4" s="60"/>
      <c r="K4" s="60"/>
      <c r="L4" s="60"/>
      <c r="M4" s="60"/>
      <c r="V4" t="s">
        <v>44</v>
      </c>
    </row>
    <row r="5" spans="1:22" ht="15.75" customHeight="1">
      <c r="A5" s="132" t="s">
        <v>260</v>
      </c>
      <c r="B5" s="155"/>
      <c r="C5" s="155"/>
      <c r="D5" s="155"/>
      <c r="E5" s="155"/>
      <c r="F5" s="155"/>
      <c r="G5" s="155"/>
      <c r="H5" s="155"/>
      <c r="I5" s="155"/>
      <c r="J5" s="155"/>
      <c r="K5" s="155"/>
      <c r="L5" s="155"/>
      <c r="M5" s="156"/>
      <c r="V5" t="s">
        <v>45</v>
      </c>
    </row>
    <row r="6" spans="1:22" ht="15.75" customHeight="1">
      <c r="A6" s="270"/>
      <c r="B6" s="270"/>
      <c r="C6" s="270"/>
      <c r="D6" s="270"/>
      <c r="E6" s="270"/>
      <c r="F6" s="270"/>
      <c r="G6" s="270"/>
      <c r="H6" s="270"/>
      <c r="I6" s="271"/>
      <c r="J6" s="270"/>
      <c r="K6" s="270"/>
      <c r="L6" s="270"/>
      <c r="M6" s="270"/>
      <c r="V6" t="s">
        <v>46</v>
      </c>
    </row>
    <row r="7" spans="1:22" ht="30.75" customHeight="1">
      <c r="A7" s="983" t="s">
        <v>269</v>
      </c>
      <c r="B7" s="992"/>
      <c r="C7" s="982" t="s">
        <v>273</v>
      </c>
      <c r="D7" s="982"/>
      <c r="E7" s="982"/>
      <c r="F7" s="982"/>
      <c r="G7" s="982"/>
      <c r="H7" s="982"/>
      <c r="I7" s="983"/>
      <c r="J7" s="982" t="s">
        <v>274</v>
      </c>
      <c r="K7" s="982"/>
      <c r="L7" s="982" t="s">
        <v>275</v>
      </c>
      <c r="M7" s="982"/>
      <c r="V7" t="s">
        <v>47</v>
      </c>
    </row>
    <row r="8" spans="1:22" ht="15.75" customHeight="1">
      <c r="A8" s="1047">
        <v>1</v>
      </c>
      <c r="B8" s="1048"/>
      <c r="C8" s="984"/>
      <c r="D8" s="985"/>
      <c r="E8" s="985"/>
      <c r="F8" s="985"/>
      <c r="G8" s="985"/>
      <c r="H8" s="985"/>
      <c r="I8" s="986"/>
      <c r="J8" s="993"/>
      <c r="K8" s="994"/>
      <c r="L8" s="993"/>
      <c r="M8" s="994"/>
      <c r="V8" t="s">
        <v>48</v>
      </c>
    </row>
    <row r="9" spans="1:22" ht="15.75" customHeight="1">
      <c r="A9" s="1047">
        <v>2</v>
      </c>
      <c r="B9" s="1048"/>
      <c r="C9" s="984"/>
      <c r="D9" s="985"/>
      <c r="E9" s="985"/>
      <c r="F9" s="985"/>
      <c r="G9" s="985"/>
      <c r="H9" s="985"/>
      <c r="I9" s="986"/>
      <c r="J9" s="990"/>
      <c r="K9" s="991"/>
      <c r="L9" s="990"/>
      <c r="M9" s="991"/>
      <c r="V9" t="s">
        <v>49</v>
      </c>
    </row>
    <row r="10" spans="1:22" ht="15.75" customHeight="1">
      <c r="A10" s="1047">
        <v>3</v>
      </c>
      <c r="B10" s="1048"/>
      <c r="C10" s="984"/>
      <c r="D10" s="985"/>
      <c r="E10" s="985"/>
      <c r="F10" s="985"/>
      <c r="G10" s="985"/>
      <c r="H10" s="985"/>
      <c r="I10" s="986"/>
      <c r="J10" s="990"/>
      <c r="K10" s="991"/>
      <c r="L10" s="990"/>
      <c r="M10" s="991"/>
      <c r="V10" t="s">
        <v>50</v>
      </c>
    </row>
    <row r="11" spans="1:22" ht="15.75" customHeight="1">
      <c r="A11" s="1047">
        <v>4</v>
      </c>
      <c r="B11" s="1048"/>
      <c r="C11" s="984"/>
      <c r="D11" s="985"/>
      <c r="E11" s="985"/>
      <c r="F11" s="985"/>
      <c r="G11" s="985"/>
      <c r="H11" s="985"/>
      <c r="I11" s="986"/>
      <c r="J11" s="988"/>
      <c r="K11" s="989"/>
      <c r="L11" s="988"/>
      <c r="M11" s="989"/>
      <c r="V11" t="s">
        <v>51</v>
      </c>
    </row>
    <row r="12" spans="1:22" ht="15.75" customHeight="1">
      <c r="A12" s="1047">
        <v>5</v>
      </c>
      <c r="B12" s="1048"/>
      <c r="C12" s="984"/>
      <c r="D12" s="985"/>
      <c r="E12" s="985"/>
      <c r="F12" s="985"/>
      <c r="G12" s="985"/>
      <c r="H12" s="985"/>
      <c r="I12" s="986"/>
      <c r="J12" s="322"/>
      <c r="K12" s="323"/>
      <c r="L12" s="322"/>
      <c r="M12" s="323"/>
      <c r="V12" t="s">
        <v>52</v>
      </c>
    </row>
    <row r="13" spans="1:13" ht="15.75" customHeight="1">
      <c r="A13" s="1047">
        <v>6</v>
      </c>
      <c r="B13" s="1048"/>
      <c r="C13" s="984"/>
      <c r="D13" s="985"/>
      <c r="E13" s="985"/>
      <c r="F13" s="985"/>
      <c r="G13" s="985"/>
      <c r="H13" s="985"/>
      <c r="I13" s="986"/>
      <c r="J13" s="322"/>
      <c r="K13" s="323"/>
      <c r="L13" s="322"/>
      <c r="M13" s="323"/>
    </row>
    <row r="14" spans="1:13" ht="15.75" customHeight="1">
      <c r="A14" s="1047">
        <v>7</v>
      </c>
      <c r="B14" s="1048"/>
      <c r="C14" s="984"/>
      <c r="D14" s="985"/>
      <c r="E14" s="985"/>
      <c r="F14" s="985"/>
      <c r="G14" s="985"/>
      <c r="H14" s="985"/>
      <c r="I14" s="986"/>
      <c r="J14" s="990"/>
      <c r="K14" s="991"/>
      <c r="L14" s="990"/>
      <c r="M14" s="991"/>
    </row>
    <row r="15" spans="1:13" ht="15.75" customHeight="1">
      <c r="A15" s="1047">
        <v>8</v>
      </c>
      <c r="B15" s="1048"/>
      <c r="C15" s="984"/>
      <c r="D15" s="985"/>
      <c r="E15" s="985"/>
      <c r="F15" s="985"/>
      <c r="G15" s="985"/>
      <c r="H15" s="985"/>
      <c r="I15" s="986"/>
      <c r="J15" s="990"/>
      <c r="K15" s="991"/>
      <c r="L15" s="990"/>
      <c r="M15" s="991"/>
    </row>
    <row r="16" spans="1:13" s="97" customFormat="1" ht="15.75" customHeight="1">
      <c r="A16" s="272"/>
      <c r="B16" s="268"/>
      <c r="C16" s="269"/>
      <c r="D16" s="269"/>
      <c r="E16" s="269"/>
      <c r="F16" s="269"/>
      <c r="G16" s="269"/>
      <c r="H16" s="269"/>
      <c r="I16" s="269"/>
      <c r="J16" s="267"/>
      <c r="K16" s="267"/>
      <c r="L16" s="267"/>
      <c r="M16" s="267"/>
    </row>
    <row r="17" spans="1:13" ht="15.75" customHeight="1">
      <c r="A17" s="132" t="s">
        <v>336</v>
      </c>
      <c r="B17" s="155"/>
      <c r="C17" s="155"/>
      <c r="D17" s="155"/>
      <c r="E17" s="155"/>
      <c r="F17" s="155"/>
      <c r="G17" s="155"/>
      <c r="H17" s="155"/>
      <c r="I17" s="155"/>
      <c r="J17" s="155"/>
      <c r="K17" s="155"/>
      <c r="L17" s="155"/>
      <c r="M17" s="156"/>
    </row>
    <row r="18" spans="1:13" ht="53.25" customHeight="1">
      <c r="A18" s="981" t="s">
        <v>335</v>
      </c>
      <c r="B18" s="981"/>
      <c r="C18" s="981"/>
      <c r="D18" s="981"/>
      <c r="E18" s="981"/>
      <c r="F18" s="981"/>
      <c r="G18" s="981"/>
      <c r="H18" s="981"/>
      <c r="I18" s="981"/>
      <c r="J18" s="981"/>
      <c r="K18" s="981"/>
      <c r="L18" s="981"/>
      <c r="M18" s="981"/>
    </row>
    <row r="19" spans="1:13" ht="93" customHeight="1">
      <c r="A19" s="978"/>
      <c r="B19" s="979"/>
      <c r="C19" s="979"/>
      <c r="D19" s="979"/>
      <c r="E19" s="979"/>
      <c r="F19" s="979"/>
      <c r="G19" s="979"/>
      <c r="H19" s="979"/>
      <c r="I19" s="979"/>
      <c r="J19" s="979"/>
      <c r="K19" s="979"/>
      <c r="L19" s="979"/>
      <c r="M19" s="980"/>
    </row>
    <row r="20" spans="1:13" ht="15.75" customHeight="1">
      <c r="A20" s="249"/>
      <c r="B20" s="249"/>
      <c r="C20" s="249"/>
      <c r="D20" s="249"/>
      <c r="E20" s="249"/>
      <c r="F20" s="249"/>
      <c r="G20" s="249"/>
      <c r="H20" s="249"/>
      <c r="I20" s="249"/>
      <c r="J20" s="60"/>
      <c r="K20" s="60"/>
      <c r="L20" s="60"/>
      <c r="M20" s="60"/>
    </row>
    <row r="21" spans="1:13" ht="15.75" customHeight="1">
      <c r="A21" s="132" t="s">
        <v>415</v>
      </c>
      <c r="B21" s="155"/>
      <c r="C21" s="155"/>
      <c r="D21" s="155"/>
      <c r="E21" s="155"/>
      <c r="F21" s="155"/>
      <c r="G21" s="155"/>
      <c r="H21" s="155"/>
      <c r="I21" s="155"/>
      <c r="J21" s="155"/>
      <c r="K21" s="155"/>
      <c r="L21" s="155"/>
      <c r="M21" s="156"/>
    </row>
    <row r="22" spans="1:13" ht="66.75" customHeight="1">
      <c r="A22" s="987" t="s">
        <v>242</v>
      </c>
      <c r="B22" s="987"/>
      <c r="C22" s="987"/>
      <c r="D22" s="987"/>
      <c r="E22" s="987"/>
      <c r="F22" s="987"/>
      <c r="G22" s="987"/>
      <c r="H22" s="987"/>
      <c r="I22" s="987"/>
      <c r="J22" s="987"/>
      <c r="K22" s="987"/>
      <c r="L22" s="987"/>
      <c r="M22" s="987"/>
    </row>
    <row r="23" spans="1:13" ht="18" customHeight="1">
      <c r="A23" s="1049" t="s">
        <v>290</v>
      </c>
      <c r="B23" s="1049"/>
      <c r="C23" s="1049"/>
      <c r="D23" s="1049"/>
      <c r="E23" s="1049"/>
      <c r="F23" s="1049"/>
      <c r="G23" s="1049"/>
      <c r="H23" s="1049"/>
      <c r="I23" s="1049"/>
      <c r="J23" s="1049"/>
      <c r="K23" s="1049"/>
      <c r="L23" s="1049"/>
      <c r="M23" s="1049"/>
    </row>
    <row r="24" spans="1:13" ht="20.25" customHeight="1">
      <c r="A24" s="242" t="s">
        <v>414</v>
      </c>
      <c r="B24" s="241"/>
      <c r="C24" s="242"/>
      <c r="D24" s="242"/>
      <c r="E24" s="242"/>
      <c r="F24" s="241"/>
      <c r="G24" s="242"/>
      <c r="H24" s="242"/>
      <c r="I24" s="242"/>
      <c r="J24" s="60"/>
      <c r="K24" s="60"/>
      <c r="L24" s="60"/>
      <c r="M24" s="60"/>
    </row>
    <row r="25" spans="1:13" ht="15.75" customHeight="1">
      <c r="A25" s="243" t="s">
        <v>413</v>
      </c>
      <c r="B25" s="242" t="s">
        <v>412</v>
      </c>
      <c r="C25" s="244"/>
      <c r="D25" s="245"/>
      <c r="H25" s="246" t="s">
        <v>411</v>
      </c>
      <c r="I25" s="245" t="s">
        <v>410</v>
      </c>
      <c r="J25" s="244"/>
      <c r="K25" s="245"/>
      <c r="L25" s="60"/>
      <c r="M25" s="60"/>
    </row>
    <row r="26" spans="1:13" ht="15.75" customHeight="1">
      <c r="A26" s="243" t="s">
        <v>409</v>
      </c>
      <c r="B26" s="242" t="s">
        <v>408</v>
      </c>
      <c r="C26" s="244"/>
      <c r="D26" s="245"/>
      <c r="H26" s="246" t="s">
        <v>407</v>
      </c>
      <c r="I26" s="245" t="s">
        <v>406</v>
      </c>
      <c r="J26" s="244"/>
      <c r="K26" s="245"/>
      <c r="L26" s="60"/>
      <c r="M26" s="60"/>
    </row>
    <row r="27" spans="1:13" ht="15.75" customHeight="1">
      <c r="A27" s="243" t="s">
        <v>405</v>
      </c>
      <c r="B27" s="242" t="s">
        <v>404</v>
      </c>
      <c r="C27" s="244"/>
      <c r="D27" s="245"/>
      <c r="H27" s="246" t="s">
        <v>403</v>
      </c>
      <c r="I27" s="245" t="s">
        <v>402</v>
      </c>
      <c r="J27" s="244"/>
      <c r="K27" s="245"/>
      <c r="L27" s="60"/>
      <c r="M27" s="60"/>
    </row>
    <row r="28" spans="1:13" ht="15.75" customHeight="1">
      <c r="A28" s="243" t="s">
        <v>401</v>
      </c>
      <c r="B28" s="242" t="s">
        <v>400</v>
      </c>
      <c r="C28" s="244"/>
      <c r="D28" s="245"/>
      <c r="E28" s="245"/>
      <c r="F28" s="245"/>
      <c r="G28" s="245"/>
      <c r="H28" s="245"/>
      <c r="I28" s="247"/>
      <c r="J28" s="60"/>
      <c r="K28" s="60"/>
      <c r="L28" s="60"/>
      <c r="M28" s="60"/>
    </row>
    <row r="29" spans="1:13" ht="9.75" customHeight="1">
      <c r="A29" s="236"/>
      <c r="B29" s="236"/>
      <c r="C29" s="235"/>
      <c r="D29" s="235"/>
      <c r="E29" s="235"/>
      <c r="F29" s="235"/>
      <c r="G29" s="235"/>
      <c r="H29" s="235"/>
      <c r="I29" s="237"/>
      <c r="J29" s="60"/>
      <c r="K29" s="60"/>
      <c r="L29" s="60"/>
      <c r="M29" s="60"/>
    </row>
    <row r="30" spans="1:13" ht="23.25" customHeight="1">
      <c r="A30" s="248" t="s">
        <v>397</v>
      </c>
      <c r="B30" s="238"/>
      <c r="C30" s="239"/>
      <c r="D30" s="239"/>
      <c r="E30" s="239"/>
      <c r="F30" s="239"/>
      <c r="G30" s="239"/>
      <c r="H30" s="239"/>
      <c r="I30" s="240"/>
      <c r="J30" s="60"/>
      <c r="K30" s="60"/>
      <c r="L30" s="60"/>
      <c r="M30" s="60"/>
    </row>
    <row r="31" spans="1:13" ht="78.75" customHeight="1">
      <c r="A31" s="978"/>
      <c r="B31" s="979"/>
      <c r="C31" s="979"/>
      <c r="D31" s="979"/>
      <c r="E31" s="979"/>
      <c r="F31" s="979"/>
      <c r="G31" s="979"/>
      <c r="H31" s="979"/>
      <c r="I31" s="979"/>
      <c r="J31" s="979"/>
      <c r="K31" s="979"/>
      <c r="L31" s="979"/>
      <c r="M31" s="980"/>
    </row>
    <row r="32" spans="1:13" ht="15.75" customHeight="1">
      <c r="A32" s="250"/>
      <c r="B32" s="250"/>
      <c r="C32" s="250"/>
      <c r="D32" s="250"/>
      <c r="E32" s="250"/>
      <c r="F32" s="250"/>
      <c r="G32" s="250"/>
      <c r="H32" s="250"/>
      <c r="I32" s="250"/>
      <c r="J32" s="60"/>
      <c r="K32" s="60"/>
      <c r="L32" s="60"/>
      <c r="M32" s="60"/>
    </row>
    <row r="33" spans="1:13" ht="15.75" customHeight="1">
      <c r="A33" s="975" t="s">
        <v>399</v>
      </c>
      <c r="B33" s="976"/>
      <c r="C33" s="976"/>
      <c r="D33" s="976"/>
      <c r="E33" s="976"/>
      <c r="F33" s="976"/>
      <c r="G33" s="976"/>
      <c r="H33" s="976"/>
      <c r="I33" s="976"/>
      <c r="J33" s="976"/>
      <c r="K33" s="976"/>
      <c r="L33" s="976"/>
      <c r="M33" s="976"/>
    </row>
    <row r="34" spans="1:13" ht="15.75" customHeight="1">
      <c r="A34" s="977" t="s">
        <v>398</v>
      </c>
      <c r="B34" s="977"/>
      <c r="C34" s="977"/>
      <c r="D34" s="977"/>
      <c r="E34" s="977"/>
      <c r="F34" s="977"/>
      <c r="G34" s="977"/>
      <c r="H34" s="977"/>
      <c r="I34" s="977"/>
      <c r="J34" s="977"/>
      <c r="K34" s="977"/>
      <c r="L34" s="977"/>
      <c r="M34" s="977"/>
    </row>
    <row r="35" spans="1:13" ht="15.75" customHeight="1">
      <c r="A35" s="977"/>
      <c r="B35" s="977"/>
      <c r="C35" s="977"/>
      <c r="D35" s="977"/>
      <c r="E35" s="977"/>
      <c r="F35" s="977"/>
      <c r="G35" s="977"/>
      <c r="H35" s="977"/>
      <c r="I35" s="977"/>
      <c r="J35" s="977"/>
      <c r="K35" s="977"/>
      <c r="L35" s="977"/>
      <c r="M35" s="977"/>
    </row>
    <row r="36" spans="1:13" ht="21.75" customHeight="1">
      <c r="A36" s="977"/>
      <c r="B36" s="977"/>
      <c r="C36" s="977"/>
      <c r="D36" s="977"/>
      <c r="E36" s="977"/>
      <c r="F36" s="977"/>
      <c r="G36" s="977"/>
      <c r="H36" s="977"/>
      <c r="I36" s="977"/>
      <c r="J36" s="977"/>
      <c r="K36" s="977"/>
      <c r="L36" s="977"/>
      <c r="M36" s="977"/>
    </row>
    <row r="37" spans="1:13" ht="6.75" customHeight="1">
      <c r="A37" s="977"/>
      <c r="B37" s="977"/>
      <c r="C37" s="977"/>
      <c r="D37" s="977"/>
      <c r="E37" s="977"/>
      <c r="F37" s="977"/>
      <c r="G37" s="977"/>
      <c r="H37" s="977"/>
      <c r="I37" s="977"/>
      <c r="J37" s="977"/>
      <c r="K37" s="977"/>
      <c r="L37" s="977"/>
      <c r="M37" s="977"/>
    </row>
    <row r="38" spans="1:13" ht="21" customHeight="1">
      <c r="A38" s="248" t="s">
        <v>397</v>
      </c>
      <c r="B38" s="251"/>
      <c r="C38" s="252"/>
      <c r="D38" s="252"/>
      <c r="E38" s="252"/>
      <c r="F38" s="252"/>
      <c r="G38" s="252"/>
      <c r="H38" s="252"/>
      <c r="I38" s="253"/>
      <c r="J38" s="60"/>
      <c r="K38" s="60"/>
      <c r="L38" s="60"/>
      <c r="M38" s="60"/>
    </row>
    <row r="39" spans="1:13" ht="75" customHeight="1">
      <c r="A39" s="978"/>
      <c r="B39" s="979"/>
      <c r="C39" s="979"/>
      <c r="D39" s="979"/>
      <c r="E39" s="979"/>
      <c r="F39" s="979"/>
      <c r="G39" s="979"/>
      <c r="H39" s="979"/>
      <c r="I39" s="979"/>
      <c r="J39" s="979"/>
      <c r="K39" s="979"/>
      <c r="L39" s="979"/>
      <c r="M39" s="980"/>
    </row>
    <row r="40" spans="1:13" s="97" customFormat="1" ht="22.5" customHeight="1">
      <c r="A40" s="125" t="s">
        <v>431</v>
      </c>
      <c r="B40" s="273"/>
      <c r="C40" s="273"/>
      <c r="D40" s="273"/>
      <c r="E40" s="273"/>
      <c r="F40" s="273"/>
      <c r="G40" s="273"/>
      <c r="H40" s="273"/>
      <c r="I40" s="273"/>
      <c r="J40" s="848">
        <f>IF('Page 1-Customer Info'!$B$24="","",'Page 1-Customer Info'!$B$24)</f>
      </c>
      <c r="K40" s="848"/>
      <c r="L40" s="848"/>
      <c r="M40" s="848"/>
    </row>
    <row r="41" spans="1:13" s="97" customFormat="1" ht="15.75" customHeight="1">
      <c r="A41" s="645" t="s">
        <v>256</v>
      </c>
      <c r="B41" s="273"/>
      <c r="C41" s="273"/>
      <c r="D41" s="273"/>
      <c r="E41" s="273"/>
      <c r="F41" s="273"/>
      <c r="G41" s="273"/>
      <c r="H41" s="273"/>
      <c r="I41" s="273"/>
      <c r="J41" s="973" t="s">
        <v>283</v>
      </c>
      <c r="K41" s="973"/>
      <c r="L41" s="858">
        <f>'Page 1-Customer Info'!$B$5</f>
        <v>0</v>
      </c>
      <c r="M41" s="858"/>
    </row>
    <row r="42" spans="1:13" s="97" customFormat="1" ht="20.25" customHeight="1">
      <c r="A42" s="92" t="s">
        <v>160</v>
      </c>
      <c r="B42" s="273"/>
      <c r="C42" s="273"/>
      <c r="D42" s="273"/>
      <c r="E42" s="273"/>
      <c r="F42" s="273"/>
      <c r="G42" s="273"/>
      <c r="H42" s="273"/>
      <c r="I42" s="273"/>
      <c r="J42" s="273"/>
      <c r="K42" s="273"/>
      <c r="L42" s="273"/>
      <c r="M42" s="273"/>
    </row>
    <row r="43" spans="1:13" ht="8.25" customHeight="1">
      <c r="A43" s="92"/>
      <c r="B43" s="79"/>
      <c r="C43" s="79"/>
      <c r="D43" s="79"/>
      <c r="E43" s="80"/>
      <c r="F43" s="80"/>
      <c r="G43" s="80"/>
      <c r="H43" s="80"/>
      <c r="I43" s="80"/>
      <c r="J43" s="80"/>
      <c r="K43" s="80"/>
      <c r="L43" s="80"/>
      <c r="M43" s="80"/>
    </row>
    <row r="44" spans="1:13" ht="15.75" customHeight="1">
      <c r="A44" s="132" t="s">
        <v>475</v>
      </c>
      <c r="B44" s="155"/>
      <c r="C44" s="155"/>
      <c r="D44" s="155"/>
      <c r="E44" s="155"/>
      <c r="F44" s="155"/>
      <c r="G44" s="155"/>
      <c r="H44" s="155"/>
      <c r="I44" s="155"/>
      <c r="J44" s="155"/>
      <c r="K44" s="155"/>
      <c r="L44" s="155"/>
      <c r="M44" s="156"/>
    </row>
    <row r="45" spans="1:13" ht="12">
      <c r="A45" s="1014" t="s">
        <v>243</v>
      </c>
      <c r="B45" s="1014"/>
      <c r="C45" s="1007"/>
      <c r="D45" s="1007"/>
      <c r="E45" s="1007"/>
      <c r="F45" s="1007"/>
      <c r="G45" s="1007"/>
      <c r="H45" s="1007"/>
      <c r="I45" s="1007"/>
      <c r="J45" s="1007"/>
      <c r="K45" s="1007"/>
      <c r="L45" s="1007"/>
      <c r="M45" s="1007"/>
    </row>
    <row r="46" spans="1:13" ht="12.75" customHeight="1">
      <c r="A46" s="1007"/>
      <c r="B46" s="1007"/>
      <c r="C46" s="1007"/>
      <c r="D46" s="1007"/>
      <c r="E46" s="1007"/>
      <c r="F46" s="1007"/>
      <c r="G46" s="1007"/>
      <c r="H46" s="1007"/>
      <c r="I46" s="1007"/>
      <c r="J46" s="1007"/>
      <c r="K46" s="1007"/>
      <c r="L46" s="1007"/>
      <c r="M46" s="1007"/>
    </row>
    <row r="47" spans="1:13" ht="27.75" customHeight="1">
      <c r="A47" s="1007"/>
      <c r="B47" s="1007"/>
      <c r="C47" s="1007"/>
      <c r="D47" s="1007"/>
      <c r="E47" s="1007"/>
      <c r="F47" s="1007"/>
      <c r="G47" s="1007"/>
      <c r="H47" s="1007"/>
      <c r="I47" s="1007"/>
      <c r="J47" s="1007"/>
      <c r="K47" s="1007"/>
      <c r="L47" s="1007"/>
      <c r="M47" s="1007"/>
    </row>
    <row r="48" spans="1:13" ht="12">
      <c r="A48" s="281" t="s">
        <v>372</v>
      </c>
      <c r="B48" s="254" t="s">
        <v>291</v>
      </c>
      <c r="C48" s="254"/>
      <c r="D48" s="254"/>
      <c r="E48" s="254"/>
      <c r="F48" s="254"/>
      <c r="G48" s="254"/>
      <c r="H48" s="254"/>
      <c r="I48" s="254"/>
      <c r="J48" s="254"/>
      <c r="K48" s="254"/>
      <c r="L48" s="115"/>
      <c r="M48" s="115"/>
    </row>
    <row r="49" spans="1:13" ht="12">
      <c r="A49" s="282"/>
      <c r="B49" s="261" t="s">
        <v>270</v>
      </c>
      <c r="C49" s="254" t="s">
        <v>292</v>
      </c>
      <c r="D49" s="254"/>
      <c r="E49" s="254"/>
      <c r="F49" s="254"/>
      <c r="G49" s="254"/>
      <c r="H49" s="254"/>
      <c r="I49" s="254"/>
      <c r="J49" s="254"/>
      <c r="K49" s="254"/>
      <c r="L49" s="255"/>
      <c r="M49" s="255"/>
    </row>
    <row r="50" spans="1:13" ht="54" customHeight="1">
      <c r="A50" s="282"/>
      <c r="B50" s="283" t="s">
        <v>271</v>
      </c>
      <c r="C50" s="974" t="s">
        <v>293</v>
      </c>
      <c r="D50" s="974"/>
      <c r="E50" s="974"/>
      <c r="F50" s="974"/>
      <c r="G50" s="974"/>
      <c r="H50" s="974"/>
      <c r="I50" s="974"/>
      <c r="J50" s="974"/>
      <c r="K50" s="974"/>
      <c r="L50" s="974"/>
      <c r="M50" s="974"/>
    </row>
    <row r="51" spans="1:13" ht="9.75" customHeight="1">
      <c r="A51" s="256"/>
      <c r="B51" s="256"/>
      <c r="C51" s="257"/>
      <c r="D51" s="257"/>
      <c r="E51" s="257"/>
      <c r="F51" s="257"/>
      <c r="G51" s="257"/>
      <c r="H51" s="257"/>
      <c r="I51" s="257"/>
      <c r="J51" s="257"/>
      <c r="K51" s="257"/>
      <c r="L51" s="258"/>
      <c r="M51" s="258"/>
    </row>
    <row r="52" spans="1:13" ht="12">
      <c r="A52" s="281" t="s">
        <v>373</v>
      </c>
      <c r="B52" s="254" t="s">
        <v>276</v>
      </c>
      <c r="C52" s="254"/>
      <c r="D52" s="254"/>
      <c r="E52" s="115"/>
      <c r="F52" s="115"/>
      <c r="G52" s="115"/>
      <c r="H52" s="115"/>
      <c r="I52" s="115"/>
      <c r="J52" s="115"/>
      <c r="K52" s="115"/>
      <c r="L52" s="115"/>
      <c r="M52" s="115"/>
    </row>
    <row r="53" spans="1:13" ht="14.25" customHeight="1">
      <c r="A53" s="261"/>
      <c r="B53" s="261" t="s">
        <v>270</v>
      </c>
      <c r="C53" s="1006" t="s">
        <v>294</v>
      </c>
      <c r="D53" s="869"/>
      <c r="E53" s="869"/>
      <c r="F53" s="869"/>
      <c r="G53" s="869"/>
      <c r="H53" s="869"/>
      <c r="I53" s="869"/>
      <c r="J53" s="869"/>
      <c r="K53" s="869"/>
      <c r="L53" s="869"/>
      <c r="M53" s="869"/>
    </row>
    <row r="54" spans="1:13" ht="30.75" customHeight="1">
      <c r="A54" s="261"/>
      <c r="B54" s="283" t="s">
        <v>271</v>
      </c>
      <c r="C54" s="1006" t="s">
        <v>295</v>
      </c>
      <c r="D54" s="1007"/>
      <c r="E54" s="1007"/>
      <c r="F54" s="1007"/>
      <c r="G54" s="1007"/>
      <c r="H54" s="1007"/>
      <c r="I54" s="1007"/>
      <c r="J54" s="1007"/>
      <c r="K54" s="1007"/>
      <c r="L54" s="1007"/>
      <c r="M54" s="1007"/>
    </row>
    <row r="55" spans="1:13" ht="9.75" customHeight="1">
      <c r="A55" s="259"/>
      <c r="B55" s="259"/>
      <c r="C55" s="260"/>
      <c r="D55" s="260"/>
      <c r="E55" s="260"/>
      <c r="F55" s="260"/>
      <c r="G55" s="260"/>
      <c r="H55" s="260"/>
      <c r="I55" s="260"/>
      <c r="J55" s="260"/>
      <c r="K55" s="260"/>
      <c r="L55" s="260"/>
      <c r="M55" s="260"/>
    </row>
    <row r="56" spans="1:13" ht="38.25" customHeight="1">
      <c r="A56" s="284" t="s">
        <v>374</v>
      </c>
      <c r="B56" s="974" t="s">
        <v>383</v>
      </c>
      <c r="C56" s="1007"/>
      <c r="D56" s="1007"/>
      <c r="E56" s="1007"/>
      <c r="F56" s="1007"/>
      <c r="G56" s="1007"/>
      <c r="H56" s="1007"/>
      <c r="I56" s="1007"/>
      <c r="J56" s="1007"/>
      <c r="K56" s="1007"/>
      <c r="L56" s="1007"/>
      <c r="M56" s="1007"/>
    </row>
    <row r="57" spans="1:13" ht="12.75" customHeight="1">
      <c r="A57" s="284"/>
      <c r="B57" s="359"/>
      <c r="C57" s="360"/>
      <c r="D57" s="360"/>
      <c r="E57" s="360"/>
      <c r="F57" s="360"/>
      <c r="G57" s="360"/>
      <c r="H57" s="360"/>
      <c r="I57" s="360"/>
      <c r="J57" s="360"/>
      <c r="K57" s="360"/>
      <c r="L57" s="360"/>
      <c r="M57" s="360"/>
    </row>
    <row r="58" spans="1:13" ht="38.25" customHeight="1">
      <c r="A58" s="284" t="s">
        <v>375</v>
      </c>
      <c r="B58" s="974" t="s">
        <v>228</v>
      </c>
      <c r="C58" s="974"/>
      <c r="D58" s="974"/>
      <c r="E58" s="974"/>
      <c r="F58" s="974"/>
      <c r="G58" s="974"/>
      <c r="H58" s="974"/>
      <c r="I58" s="974"/>
      <c r="J58" s="974"/>
      <c r="K58" s="974"/>
      <c r="L58" s="974"/>
      <c r="M58" s="974"/>
    </row>
    <row r="59" spans="1:13" ht="12.75">
      <c r="A59" s="61"/>
      <c r="B59" s="11"/>
      <c r="C59" s="11"/>
      <c r="D59" s="11"/>
      <c r="E59" s="11"/>
      <c r="F59" s="11"/>
      <c r="G59" s="11"/>
      <c r="H59" s="11"/>
      <c r="I59" s="11"/>
      <c r="J59" s="11"/>
      <c r="K59" s="11"/>
      <c r="L59" s="11"/>
      <c r="M59" s="11"/>
    </row>
    <row r="60" spans="1:13" ht="15">
      <c r="A60" s="132" t="s">
        <v>349</v>
      </c>
      <c r="B60" s="155"/>
      <c r="C60" s="155"/>
      <c r="D60" s="155"/>
      <c r="E60" s="155"/>
      <c r="F60" s="155"/>
      <c r="G60" s="155"/>
      <c r="H60" s="155"/>
      <c r="I60" s="155"/>
      <c r="J60" s="155"/>
      <c r="K60" s="155"/>
      <c r="L60" s="155"/>
      <c r="M60" s="156"/>
    </row>
    <row r="61" spans="1:13" ht="13.5" thickBot="1">
      <c r="A61" s="62"/>
      <c r="B61" s="62"/>
      <c r="C61" s="1019"/>
      <c r="D61" s="1019"/>
      <c r="E61" s="1019"/>
      <c r="F61" s="1019"/>
      <c r="G61" s="1019"/>
      <c r="H61" s="1019"/>
      <c r="I61" s="1019"/>
      <c r="J61" s="1019"/>
      <c r="K61" s="1019"/>
      <c r="L61" s="63"/>
      <c r="M61" s="63"/>
    </row>
    <row r="62" spans="1:13" ht="27.75" customHeight="1" thickTop="1">
      <c r="A62" s="1020" t="s">
        <v>272</v>
      </c>
      <c r="B62" s="1021"/>
      <c r="C62" s="1024" t="s">
        <v>337</v>
      </c>
      <c r="D62" s="1025"/>
      <c r="E62" s="1026"/>
      <c r="F62" s="1030" t="s">
        <v>225</v>
      </c>
      <c r="G62" s="1031"/>
      <c r="H62" s="1030" t="s">
        <v>226</v>
      </c>
      <c r="I62" s="1031"/>
      <c r="J62" s="1008" t="s">
        <v>384</v>
      </c>
      <c r="K62" s="1008" t="s">
        <v>385</v>
      </c>
      <c r="L62" s="1008" t="s">
        <v>277</v>
      </c>
      <c r="M62" s="1010" t="s">
        <v>227</v>
      </c>
    </row>
    <row r="63" spans="1:13" ht="60">
      <c r="A63" s="1022"/>
      <c r="B63" s="1023"/>
      <c r="C63" s="1027"/>
      <c r="D63" s="1028"/>
      <c r="E63" s="1029"/>
      <c r="F63" s="64" t="s">
        <v>386</v>
      </c>
      <c r="G63" s="64" t="s">
        <v>387</v>
      </c>
      <c r="H63" s="64" t="s">
        <v>386</v>
      </c>
      <c r="I63" s="64" t="s">
        <v>387</v>
      </c>
      <c r="J63" s="1009"/>
      <c r="K63" s="1009"/>
      <c r="L63" s="1009"/>
      <c r="M63" s="1011"/>
    </row>
    <row r="64" spans="1:13" ht="12">
      <c r="A64" s="1012">
        <v>1</v>
      </c>
      <c r="B64" s="1013"/>
      <c r="C64" s="1032">
        <f>IF(C8="","",C8)</f>
      </c>
      <c r="D64" s="1033"/>
      <c r="E64" s="1034"/>
      <c r="F64" s="324"/>
      <c r="G64" s="325"/>
      <c r="H64" s="324"/>
      <c r="I64" s="325"/>
      <c r="J64" s="65">
        <f aca="true" t="shared" si="0" ref="J64:K66">F64-H64</f>
        <v>0</v>
      </c>
      <c r="K64" s="66">
        <f t="shared" si="0"/>
        <v>0</v>
      </c>
      <c r="L64" s="326"/>
      <c r="M64" s="327"/>
    </row>
    <row r="65" spans="1:13" ht="12">
      <c r="A65" s="1012">
        <v>2</v>
      </c>
      <c r="B65" s="1013"/>
      <c r="C65" s="1032">
        <f aca="true" t="shared" si="1" ref="C65:C71">IF(C9="","",C9)</f>
      </c>
      <c r="D65" s="1033"/>
      <c r="E65" s="1034"/>
      <c r="F65" s="324"/>
      <c r="G65" s="325"/>
      <c r="H65" s="324"/>
      <c r="I65" s="325"/>
      <c r="J65" s="65">
        <f t="shared" si="0"/>
        <v>0</v>
      </c>
      <c r="K65" s="66">
        <f t="shared" si="0"/>
        <v>0</v>
      </c>
      <c r="L65" s="326"/>
      <c r="M65" s="327"/>
    </row>
    <row r="66" spans="1:13" ht="12">
      <c r="A66" s="1012">
        <v>3</v>
      </c>
      <c r="B66" s="1013"/>
      <c r="C66" s="1032">
        <f t="shared" si="1"/>
      </c>
      <c r="D66" s="1033"/>
      <c r="E66" s="1034"/>
      <c r="F66" s="324"/>
      <c r="G66" s="325"/>
      <c r="H66" s="324"/>
      <c r="I66" s="325"/>
      <c r="J66" s="65">
        <f t="shared" si="0"/>
        <v>0</v>
      </c>
      <c r="K66" s="66">
        <f t="shared" si="0"/>
        <v>0</v>
      </c>
      <c r="L66" s="326"/>
      <c r="M66" s="327"/>
    </row>
    <row r="67" spans="1:13" ht="12">
      <c r="A67" s="1012">
        <v>4</v>
      </c>
      <c r="B67" s="1013"/>
      <c r="C67" s="1032">
        <f t="shared" si="1"/>
      </c>
      <c r="D67" s="1033"/>
      <c r="E67" s="1034"/>
      <c r="F67" s="324"/>
      <c r="G67" s="325"/>
      <c r="H67" s="324"/>
      <c r="I67" s="325"/>
      <c r="J67" s="65">
        <f>ROUND(F67-H67,1)</f>
        <v>0</v>
      </c>
      <c r="K67" s="66">
        <f>ROUND(G67-I67,0)</f>
        <v>0</v>
      </c>
      <c r="L67" s="326"/>
      <c r="M67" s="327"/>
    </row>
    <row r="68" spans="1:13" ht="12">
      <c r="A68" s="1012">
        <v>5</v>
      </c>
      <c r="B68" s="1013"/>
      <c r="C68" s="1032">
        <f t="shared" si="1"/>
      </c>
      <c r="D68" s="1033"/>
      <c r="E68" s="1034"/>
      <c r="F68" s="324"/>
      <c r="G68" s="325"/>
      <c r="H68" s="324"/>
      <c r="I68" s="325"/>
      <c r="J68" s="65">
        <f>ROUND(F68-H68,1)</f>
        <v>0</v>
      </c>
      <c r="K68" s="66">
        <f>ROUND(G68-I68,0)</f>
        <v>0</v>
      </c>
      <c r="L68" s="326"/>
      <c r="M68" s="327"/>
    </row>
    <row r="69" spans="1:13" ht="12">
      <c r="A69" s="1012">
        <v>6</v>
      </c>
      <c r="B69" s="1013"/>
      <c r="C69" s="1032">
        <f t="shared" si="1"/>
      </c>
      <c r="D69" s="1033"/>
      <c r="E69" s="1034"/>
      <c r="F69" s="324"/>
      <c r="G69" s="325"/>
      <c r="H69" s="324"/>
      <c r="I69" s="325"/>
      <c r="J69" s="65">
        <f>ROUND(F69-H69,1)</f>
        <v>0</v>
      </c>
      <c r="K69" s="66">
        <f>ROUND(G69-I69,0)</f>
        <v>0</v>
      </c>
      <c r="L69" s="326"/>
      <c r="M69" s="327"/>
    </row>
    <row r="70" spans="1:13" ht="12">
      <c r="A70" s="1012">
        <v>7</v>
      </c>
      <c r="B70" s="1013"/>
      <c r="C70" s="1032">
        <f t="shared" si="1"/>
      </c>
      <c r="D70" s="1033"/>
      <c r="E70" s="1034"/>
      <c r="F70" s="324"/>
      <c r="G70" s="325"/>
      <c r="H70" s="324"/>
      <c r="I70" s="325"/>
      <c r="J70" s="65">
        <f>ROUND(F70-H70,1)</f>
        <v>0</v>
      </c>
      <c r="K70" s="66">
        <f>ROUND(G70-I70,0)</f>
        <v>0</v>
      </c>
      <c r="L70" s="326"/>
      <c r="M70" s="327"/>
    </row>
    <row r="71" spans="1:13" ht="12">
      <c r="A71" s="1012">
        <v>8</v>
      </c>
      <c r="B71" s="1013"/>
      <c r="C71" s="1032">
        <f t="shared" si="1"/>
      </c>
      <c r="D71" s="1033"/>
      <c r="E71" s="1034"/>
      <c r="F71" s="324"/>
      <c r="G71" s="325"/>
      <c r="H71" s="324"/>
      <c r="I71" s="325"/>
      <c r="J71" s="65">
        <f>ROUND(F71-H71,1)</f>
        <v>0</v>
      </c>
      <c r="K71" s="66">
        <f>ROUND(G71-I71,0)</f>
        <v>0</v>
      </c>
      <c r="L71" s="326"/>
      <c r="M71" s="327"/>
    </row>
    <row r="72" spans="1:13" ht="21.75" customHeight="1" thickBot="1">
      <c r="A72" s="1038" t="s">
        <v>388</v>
      </c>
      <c r="B72" s="1039"/>
      <c r="C72" s="1039"/>
      <c r="D72" s="1039"/>
      <c r="E72" s="1040"/>
      <c r="F72" s="328">
        <f aca="true" t="shared" si="2" ref="F72:M72">SUM(F64:F71)</f>
        <v>0</v>
      </c>
      <c r="G72" s="329">
        <f t="shared" si="2"/>
        <v>0</v>
      </c>
      <c r="H72" s="328">
        <f t="shared" si="2"/>
        <v>0</v>
      </c>
      <c r="I72" s="329">
        <f t="shared" si="2"/>
        <v>0</v>
      </c>
      <c r="J72" s="265">
        <f t="shared" si="2"/>
        <v>0</v>
      </c>
      <c r="K72" s="266">
        <f t="shared" si="2"/>
        <v>0</v>
      </c>
      <c r="L72" s="330">
        <f t="shared" si="2"/>
        <v>0</v>
      </c>
      <c r="M72" s="331">
        <f t="shared" si="2"/>
        <v>0</v>
      </c>
    </row>
    <row r="73" spans="1:13" ht="13.5" thickBot="1" thickTop="1">
      <c r="A73" s="67"/>
      <c r="B73" s="67"/>
      <c r="C73" s="67"/>
      <c r="D73" s="67"/>
      <c r="E73" s="68"/>
      <c r="F73" s="69"/>
      <c r="G73" s="68"/>
      <c r="H73" s="69"/>
      <c r="I73" s="68"/>
      <c r="J73" s="69"/>
      <c r="K73" s="70"/>
      <c r="L73" s="70"/>
      <c r="M73" s="70"/>
    </row>
    <row r="74" spans="1:13" ht="15.75" customHeight="1" thickTop="1">
      <c r="A74" s="1041" t="s">
        <v>389</v>
      </c>
      <c r="B74" s="1042"/>
      <c r="C74" s="1042"/>
      <c r="D74" s="1043"/>
      <c r="E74" s="336">
        <f>J72*500</f>
        <v>0</v>
      </c>
      <c r="F74" s="71"/>
      <c r="G74" s="68"/>
      <c r="M74" s="70"/>
    </row>
    <row r="75" spans="1:13" ht="15" customHeight="1">
      <c r="A75" s="1044" t="s">
        <v>390</v>
      </c>
      <c r="B75" s="1045"/>
      <c r="C75" s="1045"/>
      <c r="D75" s="1046"/>
      <c r="E75" s="337">
        <f>K72*0.1</f>
        <v>0</v>
      </c>
      <c r="F75" s="71"/>
      <c r="G75" s="68"/>
      <c r="M75" s="70"/>
    </row>
    <row r="76" spans="1:13" ht="15" customHeight="1">
      <c r="A76" s="1035" t="s">
        <v>391</v>
      </c>
      <c r="B76" s="1036"/>
      <c r="C76" s="1036"/>
      <c r="D76" s="1037"/>
      <c r="E76" s="338">
        <f>MAX(E74:E75)</f>
        <v>0</v>
      </c>
      <c r="F76" s="72"/>
      <c r="G76" s="68"/>
      <c r="M76" s="70"/>
    </row>
    <row r="77" spans="1:13" ht="15" customHeight="1">
      <c r="A77" s="1015" t="s">
        <v>392</v>
      </c>
      <c r="B77" s="1016"/>
      <c r="C77" s="1017"/>
      <c r="D77" s="1018"/>
      <c r="E77" s="339"/>
      <c r="F77" s="71"/>
      <c r="G77" s="73"/>
      <c r="M77" s="77"/>
    </row>
    <row r="78" spans="1:13" ht="15" customHeight="1">
      <c r="A78" s="995" t="s">
        <v>393</v>
      </c>
      <c r="B78" s="996"/>
      <c r="C78" s="997"/>
      <c r="D78" s="998"/>
      <c r="E78" s="337">
        <f>M72*0.6</f>
        <v>0</v>
      </c>
      <c r="F78" s="71"/>
      <c r="G78" s="73"/>
      <c r="M78" s="77"/>
    </row>
    <row r="79" spans="1:13" ht="12.75">
      <c r="A79" s="995" t="s">
        <v>394</v>
      </c>
      <c r="B79" s="996"/>
      <c r="C79" s="997"/>
      <c r="D79" s="998"/>
      <c r="E79" s="337">
        <f>MAX(M72-L72,0)</f>
        <v>0</v>
      </c>
      <c r="F79" s="71"/>
      <c r="G79" s="73"/>
      <c r="H79" s="74"/>
      <c r="I79" s="75"/>
      <c r="J79" s="76"/>
      <c r="K79" s="77"/>
      <c r="L79" s="77"/>
      <c r="M79" s="77"/>
    </row>
    <row r="80" spans="1:13" ht="13.5" thickBot="1">
      <c r="A80" s="999" t="s">
        <v>395</v>
      </c>
      <c r="B80" s="1000"/>
      <c r="C80" s="1001"/>
      <c r="D80" s="1002"/>
      <c r="E80" s="340">
        <v>70000</v>
      </c>
      <c r="F80" s="71"/>
      <c r="G80" s="73"/>
      <c r="H80" s="74"/>
      <c r="I80" s="75"/>
      <c r="J80" s="76"/>
      <c r="K80" s="77"/>
      <c r="L80" s="77"/>
      <c r="M80" s="77"/>
    </row>
    <row r="81" spans="1:5" ht="24.75" customHeight="1" thickBot="1">
      <c r="A81" s="1003" t="s">
        <v>396</v>
      </c>
      <c r="B81" s="1004"/>
      <c r="C81" s="1005"/>
      <c r="D81" s="341"/>
      <c r="E81" s="492">
        <f>MIN(E76,E78:E80)</f>
        <v>0</v>
      </c>
    </row>
    <row r="82" ht="12.75" thickTop="1"/>
  </sheetData>
  <sheetProtection sheet="1"/>
  <protectedRanges>
    <protectedRange sqref="A19" name="Range2"/>
    <protectedRange sqref="A31 A39 F64:I71 L64:M71 C8:M15" name="Range1"/>
  </protectedRanges>
  <mergeCells count="86">
    <mergeCell ref="J41:K41"/>
    <mergeCell ref="L41:M41"/>
    <mergeCell ref="J1:M1"/>
    <mergeCell ref="L2:M2"/>
    <mergeCell ref="J2:K2"/>
    <mergeCell ref="J40:M40"/>
    <mergeCell ref="J15:K15"/>
    <mergeCell ref="L15:M15"/>
    <mergeCell ref="A23:M23"/>
    <mergeCell ref="A31:M31"/>
    <mergeCell ref="A15:B15"/>
    <mergeCell ref="A8:B8"/>
    <mergeCell ref="A9:B9"/>
    <mergeCell ref="A10:B10"/>
    <mergeCell ref="A11:B11"/>
    <mergeCell ref="A12:B12"/>
    <mergeCell ref="A13:B13"/>
    <mergeCell ref="A14:B14"/>
    <mergeCell ref="A76:D76"/>
    <mergeCell ref="A71:B71"/>
    <mergeCell ref="C71:E71"/>
    <mergeCell ref="C68:E68"/>
    <mergeCell ref="A69:B69"/>
    <mergeCell ref="C69:E69"/>
    <mergeCell ref="A72:E72"/>
    <mergeCell ref="A74:D74"/>
    <mergeCell ref="A75:D75"/>
    <mergeCell ref="C64:E64"/>
    <mergeCell ref="A65:B65"/>
    <mergeCell ref="C65:E65"/>
    <mergeCell ref="A66:B66"/>
    <mergeCell ref="C66:E66"/>
    <mergeCell ref="A70:B70"/>
    <mergeCell ref="C70:E70"/>
    <mergeCell ref="A67:B67"/>
    <mergeCell ref="C67:E67"/>
    <mergeCell ref="A68:B68"/>
    <mergeCell ref="A45:M47"/>
    <mergeCell ref="A77:D77"/>
    <mergeCell ref="B56:M56"/>
    <mergeCell ref="C61:K61"/>
    <mergeCell ref="A62:B63"/>
    <mergeCell ref="C62:E63"/>
    <mergeCell ref="F62:G62"/>
    <mergeCell ref="H62:I62"/>
    <mergeCell ref="J62:J63"/>
    <mergeCell ref="K62:K63"/>
    <mergeCell ref="A78:D78"/>
    <mergeCell ref="A79:D79"/>
    <mergeCell ref="A80:D80"/>
    <mergeCell ref="A81:C81"/>
    <mergeCell ref="C50:M50"/>
    <mergeCell ref="C53:M53"/>
    <mergeCell ref="C54:M54"/>
    <mergeCell ref="L62:L63"/>
    <mergeCell ref="M62:M63"/>
    <mergeCell ref="A64:B64"/>
    <mergeCell ref="J9:K9"/>
    <mergeCell ref="L9:M9"/>
    <mergeCell ref="J10:K10"/>
    <mergeCell ref="L10:M10"/>
    <mergeCell ref="A7:B7"/>
    <mergeCell ref="J7:K7"/>
    <mergeCell ref="L7:M7"/>
    <mergeCell ref="J8:K8"/>
    <mergeCell ref="L8:M8"/>
    <mergeCell ref="C12:I12"/>
    <mergeCell ref="C15:I15"/>
    <mergeCell ref="A19:M19"/>
    <mergeCell ref="A22:M22"/>
    <mergeCell ref="J11:K11"/>
    <mergeCell ref="L11:M11"/>
    <mergeCell ref="J14:K14"/>
    <mergeCell ref="L14:M14"/>
    <mergeCell ref="C13:I13"/>
    <mergeCell ref="C14:I14"/>
    <mergeCell ref="B58:M58"/>
    <mergeCell ref="A33:M33"/>
    <mergeCell ref="A34:M37"/>
    <mergeCell ref="A39:M39"/>
    <mergeCell ref="A18:M18"/>
    <mergeCell ref="C7:I7"/>
    <mergeCell ref="C8:I8"/>
    <mergeCell ref="C9:I9"/>
    <mergeCell ref="C10:I10"/>
    <mergeCell ref="C11:I11"/>
  </mergeCells>
  <dataValidations count="2">
    <dataValidation type="list" allowBlank="1" showInputMessage="1" sqref="C16">
      <formula1>$C$43:$C$44</formula1>
    </dataValidation>
    <dataValidation type="list" allowBlank="1" showInputMessage="1" sqref="C8:I15">
      <formula1>$V$4:$V$12</formula1>
    </dataValidation>
  </dataValidations>
  <printOptions/>
  <pageMargins left="0.17" right="0.17" top="0.35" bottom="0.38" header="0.3" footer="0.3"/>
  <pageSetup horizontalDpi="600" verticalDpi="600" orientation="portrait" scale="80"/>
  <headerFooter alignWithMargins="0">
    <oddFooter>&amp;R&amp;8&amp;F</oddFooter>
  </headerFooter>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Fort Collins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GSchroeder</dc:creator>
  <cp:keywords/>
  <dc:description/>
  <cp:lastModifiedBy>Hannah Wallace</cp:lastModifiedBy>
  <cp:lastPrinted>2010-01-21T20:17:56Z</cp:lastPrinted>
  <dcterms:created xsi:type="dcterms:W3CDTF">2006-09-05T20:48:33Z</dcterms:created>
  <dcterms:modified xsi:type="dcterms:W3CDTF">2010-08-10T15:44:29Z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