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CSU\Energy-Services\Programs\IDAP\2019 Work\Report &amp; Code &amp; LEED Calculations\"/>
    </mc:Choice>
  </mc:AlternateContent>
  <xr:revisionPtr revIDLastSave="0" documentId="13_ncr:1_{37B0E31D-63E5-4A6E-BA61-F134D66F0C3F}" xr6:coauthVersionLast="43" xr6:coauthVersionMax="43" xr10:uidLastSave="{00000000-0000-0000-0000-000000000000}"/>
  <bookViews>
    <workbookView xWindow="25080" yWindow="-120" windowWidth="25440" windowHeight="15390" xr2:uid="{AE750729-B618-4692-B384-8EC2EEA77AE9}"/>
  </bookViews>
  <sheets>
    <sheet name="Overview" sheetId="8" r:id="rId1"/>
    <sheet name="IDAP" sheetId="1" r:id="rId2"/>
    <sheet name="LEED" sheetId="4" r:id="rId3"/>
    <sheet name="Code" sheetId="7" r:id="rId4"/>
    <sheet name="Notes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7" l="1"/>
  <c r="C12" i="7"/>
  <c r="C11" i="7"/>
  <c r="D12" i="7"/>
  <c r="D11" i="7"/>
  <c r="B10" i="4" l="1"/>
  <c r="C10" i="4" s="1"/>
  <c r="D7" i="1"/>
  <c r="C26" i="1"/>
  <c r="B37" i="1"/>
  <c r="B33" i="1"/>
  <c r="H26" i="1"/>
  <c r="H25" i="1"/>
  <c r="G26" i="1"/>
  <c r="G25" i="1"/>
  <c r="F22" i="1"/>
  <c r="F23" i="1"/>
  <c r="F24" i="1"/>
  <c r="F26" i="1"/>
  <c r="F25" i="1"/>
  <c r="C25" i="1" l="1"/>
  <c r="C7" i="1" l="1"/>
  <c r="C9" i="4"/>
  <c r="C8" i="4"/>
  <c r="C7" i="4"/>
  <c r="B15" i="4" l="1"/>
  <c r="A3" i="7"/>
  <c r="A2" i="7"/>
  <c r="A3" i="4"/>
  <c r="A2" i="4"/>
  <c r="B18" i="7" l="1"/>
  <c r="B13" i="7"/>
  <c r="C13" i="7" s="1"/>
  <c r="B19" i="7" s="1"/>
  <c r="G6" i="4"/>
  <c r="C28" i="7" l="1"/>
  <c r="C26" i="7"/>
  <c r="C24" i="7"/>
  <c r="D24" i="7" s="1"/>
  <c r="D27" i="7"/>
  <c r="C25" i="7"/>
  <c r="D25" i="7" s="1"/>
  <c r="C27" i="7"/>
  <c r="D28" i="7"/>
  <c r="D26" i="7"/>
  <c r="B16" i="4" l="1"/>
  <c r="C8" i="1"/>
  <c r="D24" i="4" l="1"/>
  <c r="C22" i="4"/>
  <c r="D22" i="4" s="1"/>
  <c r="D23" i="4"/>
  <c r="C25" i="4"/>
  <c r="D25" i="4" s="1"/>
  <c r="C23" i="4"/>
  <c r="C24" i="4"/>
  <c r="C21" i="4"/>
  <c r="D21" i="4" s="1"/>
  <c r="D8" i="1"/>
  <c r="D9" i="1"/>
  <c r="D10" i="1"/>
  <c r="B11" i="1"/>
  <c r="C9" i="1"/>
  <c r="C10" i="1"/>
  <c r="B13" i="1" l="1"/>
  <c r="D11" i="1"/>
  <c r="B19" i="1" s="1"/>
  <c r="C11" i="1"/>
  <c r="B17" i="1" l="1"/>
  <c r="B18" i="1"/>
  <c r="C23" i="1" l="1"/>
  <c r="C22" i="1"/>
  <c r="C24" i="1"/>
  <c r="E22" i="1"/>
  <c r="E23" i="1"/>
  <c r="E26" i="1"/>
  <c r="E25" i="1"/>
  <c r="E24" i="1"/>
  <c r="H24" i="1"/>
  <c r="H23" i="1"/>
  <c r="H22" i="1"/>
  <c r="G22" i="1"/>
  <c r="G23" i="1"/>
  <c r="G24" i="1"/>
</calcChain>
</file>

<file path=xl/sharedStrings.xml><?xml version="1.0" encoding="utf-8"?>
<sst xmlns="http://schemas.openxmlformats.org/spreadsheetml/2006/main" count="149" uniqueCount="97">
  <si>
    <t>School</t>
  </si>
  <si>
    <r>
      <t>BBP</t>
    </r>
    <r>
      <rPr>
        <vertAlign val="subscript"/>
        <sz val="11"/>
        <color theme="1"/>
        <rFont val="Calibri"/>
        <family val="2"/>
        <scheme val="minor"/>
      </rPr>
      <t>Code</t>
    </r>
    <r>
      <rPr>
        <sz val="11"/>
        <color theme="1"/>
        <rFont val="Calibri"/>
        <family val="2"/>
        <scheme val="minor"/>
      </rPr>
      <t xml:space="preserve"> =</t>
    </r>
  </si>
  <si>
    <r>
      <t>PBP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=</t>
    </r>
  </si>
  <si>
    <t>A</t>
  </si>
  <si>
    <t>B</t>
  </si>
  <si>
    <t>C</t>
  </si>
  <si>
    <t>Design Package</t>
  </si>
  <si>
    <r>
      <t>PBP</t>
    </r>
    <r>
      <rPr>
        <vertAlign val="subscript"/>
        <sz val="11"/>
        <color theme="1"/>
        <rFont val="Calibri"/>
        <family val="2"/>
        <scheme val="minor"/>
      </rPr>
      <t>m</t>
    </r>
  </si>
  <si>
    <t>Savings</t>
  </si>
  <si>
    <t>PBREC</t>
  </si>
  <si>
    <t>= inputs</t>
  </si>
  <si>
    <t>% PBREC below code</t>
  </si>
  <si>
    <t>Builiding Area Type</t>
  </si>
  <si>
    <t>Multifamily</t>
  </si>
  <si>
    <t>Hotel/motel</t>
  </si>
  <si>
    <t>Office</t>
  </si>
  <si>
    <t>Restaurant</t>
  </si>
  <si>
    <t>Retail</t>
  </si>
  <si>
    <t>Warehouse</t>
  </si>
  <si>
    <t>All others</t>
  </si>
  <si>
    <r>
      <t>BPF</t>
    </r>
    <r>
      <rPr>
        <vertAlign val="subscript"/>
        <sz val="11"/>
        <color theme="1"/>
        <rFont val="Calibri"/>
        <family val="2"/>
        <scheme val="minor"/>
      </rPr>
      <t>IDAP</t>
    </r>
  </si>
  <si>
    <r>
      <t>BPF</t>
    </r>
    <r>
      <rPr>
        <vertAlign val="subscript"/>
        <sz val="11"/>
        <color theme="1"/>
        <rFont val="Calibri"/>
        <family val="2"/>
        <scheme val="minor"/>
      </rPr>
      <t>Code</t>
    </r>
  </si>
  <si>
    <t>Space type</t>
  </si>
  <si>
    <t>Area</t>
  </si>
  <si>
    <t>Total/Avg</t>
  </si>
  <si>
    <t>ASHRAE 90.1 - 2016 Building Performance Factors</t>
  </si>
  <si>
    <t>For buildings permitted under IECC 2018</t>
  </si>
  <si>
    <t>BPFs by space type(s) and area(s)</t>
  </si>
  <si>
    <t>BBUEC</t>
  </si>
  <si>
    <t>BBREC</t>
  </si>
  <si>
    <r>
      <t>BBREC</t>
    </r>
    <r>
      <rPr>
        <vertAlign val="subscript"/>
        <sz val="11"/>
        <color theme="1"/>
        <rFont val="Calibri"/>
        <family val="2"/>
        <scheme val="minor"/>
      </rPr>
      <t>Code</t>
    </r>
  </si>
  <si>
    <r>
      <t>E</t>
    </r>
    <r>
      <rPr>
        <vertAlign val="subscript"/>
        <sz val="11"/>
        <color rgb="FF000000"/>
        <rFont val="Calibri"/>
        <family val="2"/>
        <scheme val="minor"/>
      </rPr>
      <t>u</t>
    </r>
  </si>
  <si>
    <r>
      <t>E</t>
    </r>
    <r>
      <rPr>
        <vertAlign val="subscript"/>
        <sz val="11"/>
        <color theme="1"/>
        <rFont val="Calibri"/>
        <family val="2"/>
        <scheme val="minor"/>
      </rPr>
      <t>r</t>
    </r>
  </si>
  <si>
    <r>
      <t>NG</t>
    </r>
    <r>
      <rPr>
        <vertAlign val="subscript"/>
        <sz val="11"/>
        <color theme="1"/>
        <rFont val="Calibri"/>
        <family val="2"/>
        <scheme val="minor"/>
      </rPr>
      <t>u</t>
    </r>
  </si>
  <si>
    <r>
      <t>NG</t>
    </r>
    <r>
      <rPr>
        <vertAlign val="subscript"/>
        <sz val="11"/>
        <color theme="1"/>
        <rFont val="Calibri"/>
        <family val="2"/>
        <scheme val="minor"/>
      </rPr>
      <t>r</t>
    </r>
  </si>
  <si>
    <t>Date</t>
  </si>
  <si>
    <t>Design Incentive</t>
  </si>
  <si>
    <t>Rating System Adaptation</t>
  </si>
  <si>
    <t>New Construction (Except High-Rise Residential)</t>
  </si>
  <si>
    <t>Retail (Incl. Restaurant)</t>
  </si>
  <si>
    <t>Healthcare</t>
  </si>
  <si>
    <t>Hospitality</t>
  </si>
  <si>
    <t>Homes Mid-Rise &amp; NC High-Rise Residential</t>
  </si>
  <si>
    <t>BPF</t>
  </si>
  <si>
    <t>LEED Space Type</t>
  </si>
  <si>
    <r>
      <t>BPF</t>
    </r>
    <r>
      <rPr>
        <vertAlign val="subscript"/>
        <sz val="11"/>
        <color theme="1"/>
        <rFont val="Calibri"/>
        <family val="2"/>
        <scheme val="minor"/>
      </rPr>
      <t>LEED</t>
    </r>
  </si>
  <si>
    <t>% Improvement</t>
  </si>
  <si>
    <t>BPFs by space type(s) and area(s) - area weighted BPF</t>
  </si>
  <si>
    <t>Meets Code?</t>
  </si>
  <si>
    <t>D</t>
  </si>
  <si>
    <t>E</t>
  </si>
  <si>
    <t>PBP*</t>
  </si>
  <si>
    <t>PCI**</t>
  </si>
  <si>
    <t>**PCI=Proposed Building Performance/Baseline Building Performance</t>
  </si>
  <si>
    <t>*Proposed Building Performance</t>
  </si>
  <si>
    <t>kWh/yr</t>
  </si>
  <si>
    <t>therms/yr</t>
  </si>
  <si>
    <t>Code Baseline electricity and natural gas calculation to be used in Table 6 of DD and Final Energy Reports</t>
  </si>
  <si>
    <t>Space Type</t>
  </si>
  <si>
    <r>
      <t>PBP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Check*</t>
    </r>
  </si>
  <si>
    <t>*Should match Column B (PBPm)</t>
  </si>
  <si>
    <r>
      <t>PCI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*</t>
    </r>
  </si>
  <si>
    <r>
      <t>*PCI</t>
    </r>
    <r>
      <rPr>
        <i/>
        <vertAlign val="subscript"/>
        <sz val="10"/>
        <color theme="1"/>
        <rFont val="Calibri"/>
        <family val="2"/>
        <scheme val="minor"/>
      </rPr>
      <t>t</t>
    </r>
    <r>
      <rPr>
        <i/>
        <sz val="10"/>
        <color theme="1"/>
        <rFont val="Calibri"/>
        <family val="2"/>
        <scheme val="minor"/>
      </rPr>
      <t xml:space="preserve"> = [BBUEC + (BPF</t>
    </r>
    <r>
      <rPr>
        <i/>
        <vertAlign val="subscript"/>
        <sz val="10"/>
        <color theme="1"/>
        <rFont val="Calibri"/>
        <family val="2"/>
        <scheme val="minor"/>
      </rPr>
      <t>LEED</t>
    </r>
    <r>
      <rPr>
        <i/>
        <sz val="10"/>
        <color theme="1"/>
        <rFont val="Calibri"/>
        <family val="2"/>
        <scheme val="minor"/>
      </rPr>
      <t xml:space="preserve"> x BBREC)]/BBP </t>
    </r>
    <r>
      <rPr>
        <sz val="10"/>
        <color theme="1"/>
        <rFont val="Calibri"/>
        <family val="2"/>
        <scheme val="minor"/>
      </rPr>
      <t>(ASHRAE 90.1 - 2016, 4.2.1.1)</t>
    </r>
  </si>
  <si>
    <r>
      <t xml:space="preserve">BBP </t>
    </r>
    <r>
      <rPr>
        <i/>
        <sz val="10"/>
        <color theme="1"/>
        <rFont val="Calibri"/>
        <family val="2"/>
        <scheme val="minor"/>
      </rPr>
      <t>(Baseline Building Performance)</t>
    </r>
  </si>
  <si>
    <t>Results</t>
  </si>
  <si>
    <t>Performance Cost Index Target</t>
  </si>
  <si>
    <r>
      <t xml:space="preserve">BBP </t>
    </r>
    <r>
      <rPr>
        <sz val="9"/>
        <color theme="1"/>
        <rFont val="Calibri"/>
        <family val="2"/>
        <scheme val="minor"/>
      </rPr>
      <t>(Baseline Building Performance)</t>
    </r>
  </si>
  <si>
    <t>Construction Incentive**</t>
  </si>
  <si>
    <t>Peformance Incentive**</t>
  </si>
  <si>
    <t>** Estimated</t>
  </si>
  <si>
    <t>LEED Points</t>
  </si>
  <si>
    <t>-</t>
  </si>
  <si>
    <t>New Construction</t>
  </si>
  <si>
    <t>Major Renovation</t>
  </si>
  <si>
    <t>Core and Shell</t>
  </si>
  <si>
    <t>Points  (except Schools, Healthcare)</t>
  </si>
  <si>
    <t>Point Healthcare</t>
  </si>
  <si>
    <t>Points Schools</t>
  </si>
  <si>
    <t>Table 1. Points for percentage imporovement in energy performance*</t>
  </si>
  <si>
    <t>*From LEED V4 for Building Design and Construction, January 11, 2019</t>
  </si>
  <si>
    <t>LEED Building Performance Factors (BPFs)*</t>
  </si>
  <si>
    <t>*Standard 90.1-2010</t>
  </si>
  <si>
    <r>
      <t>NG</t>
    </r>
    <r>
      <rPr>
        <b/>
        <vertAlign val="subscript"/>
        <sz val="11"/>
        <color theme="1"/>
        <rFont val="Calibri"/>
        <family val="2"/>
        <scheme val="minor"/>
      </rPr>
      <t>Code</t>
    </r>
  </si>
  <si>
    <r>
      <t>E</t>
    </r>
    <r>
      <rPr>
        <b/>
        <vertAlign val="subscript"/>
        <sz val="11"/>
        <color theme="1"/>
        <rFont val="Calibri"/>
        <family val="2"/>
        <scheme val="minor"/>
      </rPr>
      <t>code</t>
    </r>
  </si>
  <si>
    <t>Project Name</t>
  </si>
  <si>
    <t>*Proposed Building Performance = Unregulated and Regulated energy cost of proposed building</t>
  </si>
  <si>
    <r>
      <t>PCI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* </t>
    </r>
    <r>
      <rPr>
        <i/>
        <sz val="10"/>
        <color theme="1"/>
        <rFont val="Calibri"/>
        <family val="2"/>
        <scheme val="minor"/>
      </rPr>
      <t>(Performance Cost Index Target)</t>
    </r>
  </si>
  <si>
    <r>
      <t xml:space="preserve">**Performance Cost Index = Proposed Building Performance/Baseline Building Performance </t>
    </r>
    <r>
      <rPr>
        <sz val="10"/>
        <color theme="1"/>
        <rFont val="Calibri"/>
        <family val="2"/>
        <scheme val="minor"/>
      </rPr>
      <t>(ASHRAE 90.1 - 2016, G1.2.2)</t>
    </r>
  </si>
  <si>
    <t xml:space="preserve">LEED Optimize Energy Performance Calculations </t>
  </si>
  <si>
    <t>City of Fort Collins Code Calculations - ASHRAE Performance Rating Method</t>
  </si>
  <si>
    <t>IDAP Calculations</t>
  </si>
  <si>
    <t>V1.0</t>
  </si>
  <si>
    <t>IDAP Energy Report Calculator</t>
  </si>
  <si>
    <t>/yr</t>
  </si>
  <si>
    <r>
      <t xml:space="preserve">/yr </t>
    </r>
    <r>
      <rPr>
        <i/>
        <sz val="10"/>
        <color theme="1"/>
        <rFont val="Calibri"/>
        <family val="2"/>
        <scheme val="minor"/>
      </rPr>
      <t>(from 90.1-2016 App. G Model)</t>
    </r>
  </si>
  <si>
    <t>Address</t>
  </si>
  <si>
    <t>Permit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</si>
</sst>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[$-409]mmmm\ d\,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Arial"/>
      <family val="2"/>
    </font>
    <font>
      <sz val="11"/>
      <color rgb="FF333333"/>
      <name val="Arial"/>
      <family val="2"/>
    </font>
    <font>
      <i/>
      <sz val="10"/>
      <color theme="1"/>
      <name val="Calibri"/>
      <family val="2"/>
      <scheme val="minor"/>
    </font>
    <font>
      <i/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333333"/>
      <name val="Arial"/>
      <family val="2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EAE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indent="1"/>
    </xf>
    <xf numFmtId="0" fontId="0" fillId="2" borderId="0" xfId="0" applyFill="1"/>
    <xf numFmtId="0" fontId="0" fillId="0" borderId="0" xfId="0" quotePrefix="1"/>
    <xf numFmtId="0" fontId="0" fillId="0" borderId="1" xfId="0" applyBorder="1"/>
    <xf numFmtId="164" fontId="0" fillId="0" borderId="1" xfId="0" applyNumberFormat="1" applyBorder="1"/>
    <xf numFmtId="165" fontId="0" fillId="0" borderId="1" xfId="2" applyNumberFormat="1" applyFont="1" applyBorder="1"/>
    <xf numFmtId="164" fontId="0" fillId="0" borderId="1" xfId="1" applyNumberFormat="1" applyFont="1" applyBorder="1"/>
    <xf numFmtId="0" fontId="0" fillId="0" borderId="1" xfId="0" applyBorder="1" applyAlignment="1">
      <alignment horizontal="left" indent="1"/>
    </xf>
    <xf numFmtId="2" fontId="0" fillId="0" borderId="1" xfId="0" applyNumberFormat="1" applyBorder="1"/>
    <xf numFmtId="2" fontId="0" fillId="0" borderId="0" xfId="0" applyNumberFormat="1"/>
    <xf numFmtId="0" fontId="3" fillId="0" borderId="1" xfId="0" applyFont="1" applyBorder="1"/>
    <xf numFmtId="3" fontId="3" fillId="0" borderId="1" xfId="0" applyNumberFormat="1" applyFont="1" applyBorder="1"/>
    <xf numFmtId="0" fontId="0" fillId="3" borderId="1" xfId="0" applyFill="1" applyBorder="1"/>
    <xf numFmtId="0" fontId="0" fillId="3" borderId="1" xfId="0" applyFill="1" applyBorder="1" applyAlignment="1">
      <alignment horizontal="left" indent="1"/>
    </xf>
    <xf numFmtId="0" fontId="0" fillId="3" borderId="1" xfId="0" applyFill="1" applyBorder="1" applyAlignment="1">
      <alignment wrapText="1"/>
    </xf>
    <xf numFmtId="0" fontId="3" fillId="0" borderId="0" xfId="0" applyFont="1"/>
    <xf numFmtId="0" fontId="3" fillId="3" borderId="1" xfId="0" applyFont="1" applyFill="1" applyBorder="1" applyAlignment="1">
      <alignment wrapText="1"/>
    </xf>
    <xf numFmtId="164" fontId="3" fillId="0" borderId="1" xfId="0" applyNumberFormat="1" applyFont="1" applyBorder="1"/>
    <xf numFmtId="2" fontId="3" fillId="0" borderId="1" xfId="0" applyNumberFormat="1" applyFont="1" applyBorder="1"/>
    <xf numFmtId="0" fontId="4" fillId="0" borderId="1" xfId="0" applyFont="1" applyBorder="1"/>
    <xf numFmtId="3" fontId="3" fillId="0" borderId="0" xfId="0" applyNumberFormat="1" applyFont="1"/>
    <xf numFmtId="164" fontId="3" fillId="0" borderId="1" xfId="1" applyNumberFormat="1" applyFont="1" applyBorder="1"/>
    <xf numFmtId="0" fontId="8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2" fontId="9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2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6" fillId="4" borderId="2" xfId="3" applyFill="1" applyBorder="1" applyAlignment="1">
      <alignment horizontal="left" vertical="center" wrapText="1" indent="1"/>
    </xf>
    <xf numFmtId="0" fontId="0" fillId="0" borderId="3" xfId="0" applyFill="1" applyBorder="1"/>
    <xf numFmtId="165" fontId="3" fillId="0" borderId="1" xfId="2" applyNumberFormat="1" applyFont="1" applyBorder="1"/>
    <xf numFmtId="2" fontId="0" fillId="0" borderId="0" xfId="1" applyNumberFormat="1" applyFont="1" applyBorder="1"/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9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3" fillId="0" borderId="0" xfId="0" applyFont="1" applyAlignment="1">
      <alignment wrapText="1"/>
    </xf>
    <xf numFmtId="0" fontId="16" fillId="0" borderId="0" xfId="0" applyFont="1"/>
    <xf numFmtId="0" fontId="15" fillId="4" borderId="5" xfId="0" applyFont="1" applyFill="1" applyBorder="1" applyAlignment="1">
      <alignment horizontal="left" vertical="center" wrapText="1" indent="1"/>
    </xf>
    <xf numFmtId="0" fontId="0" fillId="0" borderId="4" xfId="0" applyBorder="1"/>
    <xf numFmtId="0" fontId="0" fillId="0" borderId="5" xfId="0" applyFill="1" applyBorder="1"/>
    <xf numFmtId="14" fontId="0" fillId="0" borderId="0" xfId="0" applyNumberFormat="1"/>
    <xf numFmtId="0" fontId="0" fillId="0" borderId="0" xfId="0" applyProtection="1">
      <protection locked="0"/>
    </xf>
    <xf numFmtId="164" fontId="14" fillId="0" borderId="4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7" fillId="2" borderId="0" xfId="0" applyFont="1" applyFill="1" applyProtection="1">
      <protection locked="0"/>
    </xf>
    <xf numFmtId="166" fontId="7" fillId="2" borderId="0" xfId="0" applyNumberFormat="1" applyFont="1" applyFill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0" xfId="0" quotePrefix="1" applyProtection="1">
      <protection locked="0"/>
    </xf>
    <xf numFmtId="2" fontId="3" fillId="0" borderId="0" xfId="0" applyNumberFormat="1" applyFont="1" applyProtection="1">
      <protection locked="0"/>
    </xf>
    <xf numFmtId="1" fontId="3" fillId="2" borderId="1" xfId="2" applyNumberFormat="1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6" fontId="7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 indent="1"/>
      <protection locked="0"/>
    </xf>
    <xf numFmtId="2" fontId="0" fillId="0" borderId="0" xfId="0" applyNumberFormat="1" applyProtection="1">
      <protection locked="0"/>
    </xf>
    <xf numFmtId="0" fontId="1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2" borderId="0" xfId="0" applyFill="1" applyProtection="1"/>
    <xf numFmtId="0" fontId="0" fillId="0" borderId="0" xfId="0" quotePrefix="1" applyProtection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8">
    <dxf>
      <font>
        <color theme="0"/>
      </font>
    </dxf>
    <dxf>
      <font>
        <color theme="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38099</xdr:rowOff>
    </xdr:from>
    <xdr:to>
      <xdr:col>8</xdr:col>
      <xdr:colOff>514350</xdr:colOff>
      <xdr:row>24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6F86AE-115C-4AD9-BEA2-47B4F5F57774}"/>
            </a:ext>
          </a:extLst>
        </xdr:cNvPr>
        <xdr:cNvSpPr txBox="1"/>
      </xdr:nvSpPr>
      <xdr:spPr>
        <a:xfrm>
          <a:off x="0" y="609599"/>
          <a:ext cx="5429250" cy="3981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intent of this</a:t>
          </a:r>
          <a:r>
            <a:rPr lang="en-US" sz="1100" baseline="0"/>
            <a:t> workbook is to provide a platform in which to use the same ASHRAE 90.1 - 2016 Appendix G Baseline Model along with Performance Models to calculate metrics for IDAP, LEED V4 and/or City of Fort Collins Building Energy Code.</a:t>
          </a:r>
        </a:p>
        <a:p>
          <a:endParaRPr lang="en-US" sz="1100"/>
        </a:p>
        <a:p>
          <a:r>
            <a:rPr lang="en-US" sz="1100"/>
            <a:t>Use</a:t>
          </a:r>
          <a:r>
            <a:rPr lang="en-US" sz="1100" baseline="0"/>
            <a:t> the IDAP Tab for calculating report values for the IDAP SD, DD and CD reports. </a:t>
          </a:r>
        </a:p>
        <a:p>
          <a:endParaRPr lang="en-US" sz="1100" baseline="0"/>
        </a:p>
        <a:p>
          <a:r>
            <a:rPr lang="en-US" sz="1100" baseline="0"/>
            <a:t>Use the LEED Tab for calculating Optimize Energy Performance credits for LEED V4 using ASHRAE 90.1 - 2016 Appendix G methodology.</a:t>
          </a:r>
        </a:p>
        <a:p>
          <a:endParaRPr lang="en-US" sz="1100" baseline="0"/>
        </a:p>
        <a:p>
          <a:r>
            <a:rPr lang="en-US" sz="1100" baseline="0"/>
            <a:t>Use the Code Tab to document compliance with City of Fort Collins Energy Code using the Performance Rating Method.</a:t>
          </a:r>
        </a:p>
        <a:p>
          <a:endParaRPr lang="en-US" sz="1100" baseline="0"/>
        </a:p>
        <a:p>
          <a:r>
            <a:rPr lang="en-US" sz="1100" baseline="0"/>
            <a:t>Provide any explanatory notes on the Notes worksheet.</a:t>
          </a:r>
        </a:p>
        <a:p>
          <a:endParaRPr lang="en-US" sz="1100" baseline="0"/>
        </a:p>
        <a:p>
          <a:r>
            <a:rPr lang="en-US" sz="1100" baseline="0"/>
            <a:t>For more detail, refer to the IDAP Program Manual, available at </a:t>
          </a:r>
          <a:r>
            <a:rPr lang="en-US" sz="1100" u="sng" baseline="0">
              <a:solidFill>
                <a:schemeClr val="accent1"/>
              </a:solidFill>
            </a:rPr>
            <a:t>www.fcgov.com/idap</a:t>
          </a:r>
          <a:r>
            <a:rPr lang="en-US" sz="1100" baseline="0"/>
            <a:t> .</a:t>
          </a:r>
        </a:p>
        <a:p>
          <a:endParaRPr lang="en-US" sz="1100" baseline="0"/>
        </a:p>
        <a:p>
          <a:r>
            <a:rPr lang="en-US" sz="1100" baseline="0"/>
            <a:t>Please report any issues with the spreadsheet to:</a:t>
          </a:r>
        </a:p>
        <a:p>
          <a:endParaRPr lang="en-US" sz="1100" baseline="0"/>
        </a:p>
        <a:p>
          <a:r>
            <a:rPr lang="en-US" sz="1100" baseline="0"/>
            <a:t>Gary Schroeder</a:t>
          </a:r>
        </a:p>
        <a:p>
          <a:r>
            <a:rPr lang="en-US" sz="1100" baseline="0"/>
            <a:t>Fort Collins Utilities</a:t>
          </a:r>
        </a:p>
        <a:p>
          <a:r>
            <a:rPr lang="en-US" sz="1100" baseline="0"/>
            <a:t>gschroeder@fcgov.com </a:t>
          </a:r>
        </a:p>
        <a:p>
          <a:r>
            <a:rPr lang="en-US" sz="1100" baseline="0"/>
            <a:t>970-221-6395</a:t>
          </a:r>
        </a:p>
        <a:p>
          <a:endParaRPr lang="en-US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30</xdr:row>
      <xdr:rowOff>0</xdr:rowOff>
    </xdr:from>
    <xdr:to>
      <xdr:col>8</xdr:col>
      <xdr:colOff>38100</xdr:colOff>
      <xdr:row>42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F9B69D-A3A8-48C5-923F-C6E3A5EA3427}"/>
            </a:ext>
          </a:extLst>
        </xdr:cNvPr>
        <xdr:cNvSpPr txBox="1"/>
      </xdr:nvSpPr>
      <xdr:spPr>
        <a:xfrm>
          <a:off x="2667000" y="6115050"/>
          <a:ext cx="3857625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 electric and natural gas use for the code baseline is calculated as follows:</a:t>
          </a: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E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+ (BPF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 E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Electricity use of code baseline building, kWh/yr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Unregulated electricity use of baseline model, kWh/yr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Regulated electricity use of baseline model, kWh/yr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NG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+ (BPF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 NG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Natural gas use of code baseline building, therms/yr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Unregulated natural gas use of baseline model, therms/yr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en-US" sz="1100" b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Regulated natural gas use of baseline model, therms/yr</a:t>
          </a:r>
        </a:p>
        <a:p>
          <a:endParaRPr lang="en-US" sz="110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*Similar approach will be used for other fuels.</a:t>
          </a:r>
        </a:p>
        <a:p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123A1-75EA-4117-AFF7-1C4F89165F2A}">
  <dimension ref="A1:A3"/>
  <sheetViews>
    <sheetView tabSelected="1" workbookViewId="0">
      <selection activeCell="E28" sqref="E28"/>
    </sheetView>
  </sheetViews>
  <sheetFormatPr defaultRowHeight="15" x14ac:dyDescent="0.25"/>
  <cols>
    <col min="1" max="1" width="9.7109375" bestFit="1" customWidth="1"/>
  </cols>
  <sheetData>
    <row r="1" spans="1:1" x14ac:dyDescent="0.25">
      <c r="A1" s="17" t="s">
        <v>92</v>
      </c>
    </row>
    <row r="2" spans="1:1" x14ac:dyDescent="0.25">
      <c r="A2" t="s">
        <v>91</v>
      </c>
    </row>
    <row r="3" spans="1:1" x14ac:dyDescent="0.25">
      <c r="A3" s="48">
        <v>43612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074A2-B198-46A0-994E-DF129E008C98}">
  <dimension ref="A1:L43"/>
  <sheetViews>
    <sheetView workbookViewId="0">
      <selection activeCell="F15" sqref="F15"/>
    </sheetView>
  </sheetViews>
  <sheetFormatPr defaultRowHeight="15" x14ac:dyDescent="0.25"/>
  <cols>
    <col min="1" max="1" width="16" customWidth="1"/>
    <col min="2" max="2" width="11.5703125" bestFit="1" customWidth="1"/>
    <col min="3" max="3" width="10.5703125" bestFit="1" customWidth="1"/>
    <col min="5" max="5" width="11.42578125" customWidth="1"/>
    <col min="6" max="6" width="12.85546875" customWidth="1"/>
    <col min="7" max="7" width="13.28515625" customWidth="1"/>
    <col min="8" max="8" width="12.42578125" customWidth="1"/>
    <col min="10" max="10" width="18.85546875" bestFit="1" customWidth="1"/>
  </cols>
  <sheetData>
    <row r="1" spans="1:12" x14ac:dyDescent="0.25">
      <c r="A1" s="17" t="s">
        <v>90</v>
      </c>
      <c r="B1" s="49"/>
      <c r="C1" s="49"/>
      <c r="D1" s="49"/>
      <c r="E1" s="49"/>
      <c r="F1" s="49"/>
      <c r="G1" s="49"/>
      <c r="H1" s="49"/>
    </row>
    <row r="2" spans="1:12" x14ac:dyDescent="0.25">
      <c r="A2" s="52" t="s">
        <v>84</v>
      </c>
      <c r="B2" s="49"/>
      <c r="C2" s="49"/>
      <c r="D2" s="49"/>
      <c r="E2" s="49"/>
      <c r="F2" s="58"/>
      <c r="G2" s="49"/>
      <c r="H2" s="49"/>
    </row>
    <row r="3" spans="1:12" x14ac:dyDescent="0.25">
      <c r="A3" s="53" t="s">
        <v>35</v>
      </c>
      <c r="B3" s="49"/>
      <c r="C3" s="49"/>
      <c r="D3" s="71"/>
      <c r="E3" s="72" t="s">
        <v>10</v>
      </c>
      <c r="F3" s="58"/>
      <c r="G3" s="49"/>
      <c r="H3" s="49"/>
    </row>
    <row r="4" spans="1:12" x14ac:dyDescent="0.25">
      <c r="B4" s="49"/>
      <c r="C4" s="49"/>
      <c r="D4" s="49"/>
      <c r="E4" s="49"/>
      <c r="F4" s="49"/>
      <c r="G4" s="49"/>
      <c r="H4" s="49"/>
    </row>
    <row r="5" spans="1:12" x14ac:dyDescent="0.25">
      <c r="A5" s="17" t="s">
        <v>27</v>
      </c>
      <c r="B5" s="49"/>
      <c r="C5" s="49"/>
      <c r="D5" s="49"/>
      <c r="E5" s="49"/>
      <c r="F5" s="49"/>
      <c r="G5" s="49"/>
      <c r="H5" s="49"/>
    </row>
    <row r="6" spans="1:12" ht="18" x14ac:dyDescent="0.35">
      <c r="A6" s="14" t="s">
        <v>22</v>
      </c>
      <c r="B6" s="14" t="s">
        <v>23</v>
      </c>
      <c r="C6" s="14" t="s">
        <v>21</v>
      </c>
      <c r="D6" s="15" t="s">
        <v>20</v>
      </c>
      <c r="E6" s="49"/>
      <c r="F6" s="17" t="s">
        <v>25</v>
      </c>
    </row>
    <row r="7" spans="1:12" x14ac:dyDescent="0.25">
      <c r="A7" s="54"/>
      <c r="B7" s="55"/>
      <c r="C7" s="10">
        <f>IF(ISBLANK(A7),,VLOOKUP($A7,$F$9:$H$16,2,FALSE))</f>
        <v>0</v>
      </c>
      <c r="D7" s="10">
        <f>IF(ISBLANK(A7),,VLOOKUP($A7,$F$9:$H$16,3,FALSE))</f>
        <v>0</v>
      </c>
      <c r="E7" s="49"/>
      <c r="F7" t="s">
        <v>26</v>
      </c>
    </row>
    <row r="8" spans="1:12" ht="18" x14ac:dyDescent="0.35">
      <c r="A8" s="54"/>
      <c r="B8" s="55"/>
      <c r="C8" s="10">
        <f>IF(ISBLANK(A8),,VLOOKUP($A8,$F$9:$H$16,2,FALSE))</f>
        <v>0</v>
      </c>
      <c r="D8" s="10">
        <f>IF(ISBLANK(A8),,VLOOKUP($A8,$F$9:$H$16,3,FALSE))</f>
        <v>0</v>
      </c>
      <c r="E8" s="49"/>
      <c r="F8" s="14" t="s">
        <v>12</v>
      </c>
      <c r="G8" s="15" t="s">
        <v>21</v>
      </c>
      <c r="H8" s="14" t="s">
        <v>20</v>
      </c>
    </row>
    <row r="9" spans="1:12" x14ac:dyDescent="0.25">
      <c r="A9" s="54"/>
      <c r="B9" s="55"/>
      <c r="C9" s="10">
        <f>IF(ISBLANK(A9),,VLOOKUP($A9,$F$9:$H$16,2,FALSE))</f>
        <v>0</v>
      </c>
      <c r="D9" s="10">
        <f>IF(ISBLANK(A9),,VLOOKUP($A9,$F$9:$H$16,3,FALSE))</f>
        <v>0</v>
      </c>
      <c r="E9" s="49"/>
      <c r="F9" s="5" t="s">
        <v>13</v>
      </c>
      <c r="G9" s="10">
        <v>0.8</v>
      </c>
      <c r="H9" s="10">
        <v>0.72</v>
      </c>
    </row>
    <row r="10" spans="1:12" x14ac:dyDescent="0.25">
      <c r="A10" s="54"/>
      <c r="B10" s="55"/>
      <c r="C10" s="10">
        <f>IF(ISBLANK(A10),,VLOOKUP($A10,$F$9:$H$16,2,FALSE))</f>
        <v>0</v>
      </c>
      <c r="D10" s="10">
        <f>IF(ISBLANK(A10),,VLOOKUP($A10,$F$9:$H$16,3,FALSE))</f>
        <v>0</v>
      </c>
      <c r="E10" s="49"/>
      <c r="F10" s="5" t="s">
        <v>14</v>
      </c>
      <c r="G10" s="10">
        <v>0.61</v>
      </c>
      <c r="H10" s="10">
        <v>0.55000000000000004</v>
      </c>
    </row>
    <row r="11" spans="1:12" x14ac:dyDescent="0.25">
      <c r="A11" s="12" t="s">
        <v>24</v>
      </c>
      <c r="B11" s="13">
        <f>SUM(B7:B10)</f>
        <v>0</v>
      </c>
      <c r="C11" s="20">
        <f>IF(B11&lt;=0,0,($B$7*C7+$B$8*C8+$B$9*C9+$B$10*C10)/$B$11)</f>
        <v>0</v>
      </c>
      <c r="D11" s="20">
        <f>IF(B11&lt;=0,0,($B$7*D7+$B$8*D8+$B$9*D9+$B$10*D10)/$B$11)</f>
        <v>0</v>
      </c>
      <c r="E11" s="49"/>
      <c r="F11" s="5" t="s">
        <v>15</v>
      </c>
      <c r="G11" s="10">
        <v>0.61</v>
      </c>
      <c r="H11" s="10">
        <v>0.55000000000000004</v>
      </c>
    </row>
    <row r="12" spans="1:12" x14ac:dyDescent="0.25">
      <c r="A12" s="17"/>
      <c r="B12" s="22"/>
      <c r="C12" s="59"/>
      <c r="D12" s="59"/>
      <c r="E12" s="49"/>
      <c r="F12" s="5" t="s">
        <v>16</v>
      </c>
      <c r="G12" s="10">
        <v>0.57999999999999996</v>
      </c>
      <c r="H12" s="10">
        <v>0.52</v>
      </c>
    </row>
    <row r="13" spans="1:12" x14ac:dyDescent="0.25">
      <c r="A13" s="12" t="s">
        <v>36</v>
      </c>
      <c r="B13" s="23">
        <f>5000+0.1*B11</f>
        <v>5000</v>
      </c>
      <c r="C13" s="49"/>
      <c r="D13" s="59"/>
      <c r="E13" s="49"/>
      <c r="F13" s="5" t="s">
        <v>17</v>
      </c>
      <c r="G13" s="10">
        <v>0.59</v>
      </c>
      <c r="H13" s="10">
        <v>0.53</v>
      </c>
    </row>
    <row r="14" spans="1:12" x14ac:dyDescent="0.25">
      <c r="C14" s="49"/>
      <c r="D14" s="49"/>
      <c r="E14" s="49"/>
      <c r="F14" s="5" t="s">
        <v>0</v>
      </c>
      <c r="G14" s="10">
        <v>0.5</v>
      </c>
      <c r="H14" s="10">
        <v>0.45</v>
      </c>
      <c r="L14" s="11"/>
    </row>
    <row r="15" spans="1:12" x14ac:dyDescent="0.25">
      <c r="A15" s="9" t="s">
        <v>28</v>
      </c>
      <c r="B15" s="56"/>
      <c r="C15" s="4" t="s">
        <v>94</v>
      </c>
      <c r="D15" s="49"/>
      <c r="E15" s="49"/>
      <c r="F15" s="5" t="s">
        <v>18</v>
      </c>
      <c r="G15" s="10">
        <v>0.61</v>
      </c>
      <c r="H15" s="10">
        <v>0.55000000000000004</v>
      </c>
      <c r="L15" s="11"/>
    </row>
    <row r="16" spans="1:12" x14ac:dyDescent="0.25">
      <c r="A16" s="9" t="s">
        <v>29</v>
      </c>
      <c r="B16" s="56"/>
      <c r="C16" s="4" t="s">
        <v>94</v>
      </c>
      <c r="D16" s="49"/>
      <c r="E16" s="49"/>
      <c r="F16" s="5" t="s">
        <v>19</v>
      </c>
      <c r="G16" s="10">
        <v>0.56999999999999995</v>
      </c>
      <c r="H16" s="10">
        <v>0.51</v>
      </c>
      <c r="L16" s="11"/>
    </row>
    <row r="17" spans="1:12" ht="18" x14ac:dyDescent="0.35">
      <c r="A17" s="9" t="s">
        <v>30</v>
      </c>
      <c r="B17" s="8">
        <f>C11*B16</f>
        <v>0</v>
      </c>
      <c r="C17" s="4" t="s">
        <v>93</v>
      </c>
      <c r="D17" s="49"/>
      <c r="E17" s="49"/>
      <c r="F17" s="49"/>
      <c r="G17" s="49"/>
      <c r="H17" s="49"/>
      <c r="L17" s="11"/>
    </row>
    <row r="18" spans="1:12" ht="18" x14ac:dyDescent="0.35">
      <c r="A18" s="9" t="s">
        <v>1</v>
      </c>
      <c r="B18" s="6">
        <f>B15+(C11*B16)</f>
        <v>0</v>
      </c>
      <c r="C18" s="4" t="s">
        <v>93</v>
      </c>
      <c r="D18" s="49"/>
      <c r="E18" s="49"/>
      <c r="F18" s="49"/>
      <c r="G18" s="49"/>
      <c r="H18" s="49"/>
      <c r="L18" s="11"/>
    </row>
    <row r="19" spans="1:12" ht="18" x14ac:dyDescent="0.35">
      <c r="A19" s="9" t="s">
        <v>2</v>
      </c>
      <c r="B19" s="6">
        <f>B15+(D11*B16)</f>
        <v>0</v>
      </c>
      <c r="C19" s="4" t="s">
        <v>93</v>
      </c>
      <c r="D19" s="49"/>
      <c r="E19" s="49"/>
      <c r="F19" s="49"/>
      <c r="G19" s="49"/>
      <c r="H19" s="49"/>
      <c r="L19" s="11"/>
    </row>
    <row r="20" spans="1:12" x14ac:dyDescent="0.25">
      <c r="B20" s="1"/>
      <c r="D20" s="49"/>
      <c r="E20" s="49"/>
      <c r="F20" s="49"/>
      <c r="G20" s="49"/>
      <c r="H20" s="49"/>
      <c r="L20" s="11"/>
    </row>
    <row r="21" spans="1:12" ht="31.5" x14ac:dyDescent="0.35">
      <c r="A21" s="16" t="s">
        <v>6</v>
      </c>
      <c r="B21" s="14" t="s">
        <v>7</v>
      </c>
      <c r="C21" s="14" t="s">
        <v>8</v>
      </c>
      <c r="D21" s="14" t="s">
        <v>9</v>
      </c>
      <c r="E21" s="16" t="s">
        <v>11</v>
      </c>
      <c r="F21" s="16" t="s">
        <v>59</v>
      </c>
      <c r="G21" s="18" t="s">
        <v>67</v>
      </c>
      <c r="H21" s="18" t="s">
        <v>68</v>
      </c>
    </row>
    <row r="22" spans="1:12" x14ac:dyDescent="0.25">
      <c r="A22" s="5" t="s">
        <v>3</v>
      </c>
      <c r="B22" s="57"/>
      <c r="C22" s="6" t="str">
        <f>IF(OR(ISBLANK(B22),$G$27=TRUE),"",$B$18-B22)</f>
        <v/>
      </c>
      <c r="D22" s="57"/>
      <c r="E22" s="7" t="str">
        <f>IF(OR(ISBLANK($B$16),ISBLANK(D22),$B$17=0),"",1-D22/$B$17)</f>
        <v/>
      </c>
      <c r="F22" s="8" t="str">
        <f>IF(OR(ISBLANK($B$15),ISBLANK(D22)),"",$B$15+D22)</f>
        <v/>
      </c>
      <c r="G22" s="19" t="str">
        <f>IF(ISBLANK(B22),"",IF(($B$18-B22)&lt;0,0,2*($B$18-B22)))</f>
        <v/>
      </c>
      <c r="H22" s="19" t="str">
        <f>IF(ISBLANK(D22),"",IF($B$17-D22&lt;0,0,$B$17-D22))</f>
        <v/>
      </c>
    </row>
    <row r="23" spans="1:12" x14ac:dyDescent="0.25">
      <c r="A23" s="5" t="s">
        <v>4</v>
      </c>
      <c r="B23" s="57"/>
      <c r="C23" s="6" t="str">
        <f t="shared" ref="C23:C26" si="0">IF(OR(ISBLANK(B23),$G$27=TRUE),"",$B$18-B23)</f>
        <v/>
      </c>
      <c r="D23" s="57"/>
      <c r="E23" s="7" t="str">
        <f t="shared" ref="E23:E26" si="1">IF(OR(ISBLANK($B$16),ISBLANK(D23),$B$17=0),"",1-D23/$B$17)</f>
        <v/>
      </c>
      <c r="F23" s="8" t="str">
        <f>IF(OR(ISBLANK($B$15),ISBLANK(D23)),"",$B$15+D23)</f>
        <v/>
      </c>
      <c r="G23" s="19" t="str">
        <f t="shared" ref="G23:G26" si="2">IF(ISBLANK(B23),"",IF(($B$18-B23)&lt;0,0,2*($B$18-B23)))</f>
        <v/>
      </c>
      <c r="H23" s="19" t="str">
        <f t="shared" ref="H23:H26" si="3">IF(ISBLANK(D23),"",IF($B$17-D23&lt;0,0,$B$17-D23))</f>
        <v/>
      </c>
    </row>
    <row r="24" spans="1:12" x14ac:dyDescent="0.25">
      <c r="A24" s="5" t="s">
        <v>5</v>
      </c>
      <c r="B24" s="57"/>
      <c r="C24" s="6" t="str">
        <f t="shared" si="0"/>
        <v/>
      </c>
      <c r="D24" s="57"/>
      <c r="E24" s="7" t="str">
        <f t="shared" si="1"/>
        <v/>
      </c>
      <c r="F24" s="8" t="str">
        <f>IF(OR(ISBLANK($B$15),ISBLANK(D24)),"",$B$15+D24)</f>
        <v/>
      </c>
      <c r="G24" s="19" t="str">
        <f t="shared" si="2"/>
        <v/>
      </c>
      <c r="H24" s="19" t="str">
        <f t="shared" si="3"/>
        <v/>
      </c>
    </row>
    <row r="25" spans="1:12" x14ac:dyDescent="0.25">
      <c r="A25" s="5" t="s">
        <v>49</v>
      </c>
      <c r="B25" s="57"/>
      <c r="C25" s="6" t="str">
        <f t="shared" si="0"/>
        <v/>
      </c>
      <c r="D25" s="57"/>
      <c r="E25" s="7" t="str">
        <f t="shared" si="1"/>
        <v/>
      </c>
      <c r="F25" s="8" t="str">
        <f>IF(OR(ISBLANK($B$15),ISBLANK(D25)),"",$B$15+D25)</f>
        <v/>
      </c>
      <c r="G25" s="19" t="str">
        <f t="shared" si="2"/>
        <v/>
      </c>
      <c r="H25" s="19" t="str">
        <f t="shared" si="3"/>
        <v/>
      </c>
    </row>
    <row r="26" spans="1:12" x14ac:dyDescent="0.25">
      <c r="A26" s="5" t="s">
        <v>50</v>
      </c>
      <c r="B26" s="57"/>
      <c r="C26" s="6" t="str">
        <f t="shared" si="0"/>
        <v/>
      </c>
      <c r="D26" s="57"/>
      <c r="E26" s="7" t="str">
        <f t="shared" si="1"/>
        <v/>
      </c>
      <c r="F26" s="8" t="str">
        <f>IF(OR(ISBLANK($B$15),ISBLANK(D26)),"",$B$15+D26)</f>
        <v/>
      </c>
      <c r="G26" s="19" t="str">
        <f t="shared" si="2"/>
        <v/>
      </c>
      <c r="H26" s="19" t="str">
        <f t="shared" si="3"/>
        <v/>
      </c>
    </row>
    <row r="27" spans="1:12" x14ac:dyDescent="0.25">
      <c r="A27" s="33" t="s">
        <v>60</v>
      </c>
      <c r="B27" s="49"/>
      <c r="C27" s="49"/>
      <c r="D27" s="49"/>
      <c r="E27" s="49"/>
      <c r="F27" s="49"/>
      <c r="G27" s="50"/>
      <c r="H27" s="49"/>
    </row>
    <row r="28" spans="1:12" x14ac:dyDescent="0.25">
      <c r="A28" s="47" t="s">
        <v>69</v>
      </c>
      <c r="B28" s="51"/>
      <c r="C28" s="49"/>
      <c r="D28" s="49"/>
      <c r="E28" s="49"/>
      <c r="F28" s="49"/>
      <c r="G28" s="49"/>
      <c r="H28" s="49"/>
    </row>
    <row r="29" spans="1:12" x14ac:dyDescent="0.25">
      <c r="A29" s="49"/>
      <c r="B29" s="49"/>
      <c r="C29" s="49"/>
      <c r="D29" s="49"/>
      <c r="E29" s="49"/>
      <c r="F29" s="49"/>
      <c r="G29" s="49"/>
      <c r="H29" s="49"/>
    </row>
    <row r="30" spans="1:12" x14ac:dyDescent="0.25">
      <c r="A30" s="17" t="s">
        <v>57</v>
      </c>
    </row>
    <row r="31" spans="1:12" ht="18" x14ac:dyDescent="0.35">
      <c r="A31" s="21" t="s">
        <v>31</v>
      </c>
      <c r="B31" s="55"/>
      <c r="C31" t="s">
        <v>55</v>
      </c>
    </row>
    <row r="32" spans="1:12" ht="18" x14ac:dyDescent="0.35">
      <c r="A32" s="5" t="s">
        <v>32</v>
      </c>
      <c r="B32" s="55"/>
      <c r="C32" t="s">
        <v>55</v>
      </c>
    </row>
    <row r="33" spans="1:8" ht="18" x14ac:dyDescent="0.35">
      <c r="A33" s="12" t="s">
        <v>83</v>
      </c>
      <c r="B33" s="13" t="str">
        <f>IF(OR(ISBLANK(B31),ISBLANK(B32)),"",B31+($C$11*B32))</f>
        <v/>
      </c>
      <c r="C33" t="s">
        <v>55</v>
      </c>
    </row>
    <row r="35" spans="1:8" ht="18" x14ac:dyDescent="0.35">
      <c r="A35" s="5" t="s">
        <v>33</v>
      </c>
      <c r="B35" s="55"/>
      <c r="C35" t="s">
        <v>56</v>
      </c>
    </row>
    <row r="36" spans="1:8" ht="18" x14ac:dyDescent="0.35">
      <c r="A36" s="5" t="s">
        <v>34</v>
      </c>
      <c r="B36" s="55"/>
      <c r="C36" t="s">
        <v>56</v>
      </c>
    </row>
    <row r="37" spans="1:8" ht="18" x14ac:dyDescent="0.35">
      <c r="A37" s="12" t="s">
        <v>82</v>
      </c>
      <c r="B37" s="13" t="str">
        <f>IF(OR(ISBLANK(B35),ISBLANK(B36)),"",B35+($C$11*B36))</f>
        <v/>
      </c>
      <c r="C37" t="s">
        <v>56</v>
      </c>
    </row>
    <row r="38" spans="1:8" x14ac:dyDescent="0.25">
      <c r="A38" s="49"/>
      <c r="B38" s="49"/>
      <c r="C38" s="49"/>
      <c r="D38" s="49"/>
      <c r="E38" s="49"/>
      <c r="F38" s="49"/>
      <c r="G38" s="49"/>
      <c r="H38" s="49"/>
    </row>
    <row r="39" spans="1:8" x14ac:dyDescent="0.25">
      <c r="A39" s="49"/>
      <c r="B39" s="49"/>
      <c r="C39" s="49"/>
      <c r="D39" s="49"/>
      <c r="E39" s="49"/>
      <c r="F39" s="49"/>
      <c r="G39" s="49"/>
      <c r="H39" s="49"/>
    </row>
    <row r="40" spans="1:8" x14ac:dyDescent="0.25">
      <c r="A40" s="49"/>
      <c r="B40" s="49"/>
      <c r="C40" s="49"/>
      <c r="D40" s="49"/>
      <c r="E40" s="49"/>
      <c r="F40" s="49"/>
      <c r="G40" s="49"/>
      <c r="H40" s="49"/>
    </row>
    <row r="41" spans="1:8" x14ac:dyDescent="0.25">
      <c r="A41" s="49"/>
      <c r="B41" s="49"/>
      <c r="C41" s="49"/>
      <c r="D41" s="49"/>
      <c r="E41" s="49"/>
      <c r="F41" s="49"/>
      <c r="G41" s="49"/>
      <c r="H41" s="49"/>
    </row>
    <row r="42" spans="1:8" x14ac:dyDescent="0.25">
      <c r="A42" s="49"/>
      <c r="B42" s="49"/>
      <c r="C42" s="49"/>
      <c r="D42" s="49"/>
      <c r="E42" s="49"/>
      <c r="F42" s="49"/>
      <c r="G42" s="49"/>
      <c r="H42" s="49"/>
    </row>
    <row r="43" spans="1:8" x14ac:dyDescent="0.25">
      <c r="A43" s="49"/>
      <c r="B43" s="49"/>
      <c r="C43" s="49"/>
      <c r="D43" s="49"/>
      <c r="E43" s="49"/>
      <c r="F43" s="49"/>
      <c r="G43" s="49"/>
      <c r="H43" s="49"/>
    </row>
  </sheetData>
  <sheetProtection sheet="1" objects="1" scenarios="1"/>
  <protectedRanges>
    <protectedRange sqref="B35:B36" name="Range6"/>
    <protectedRange sqref="B31:B32" name="Range5"/>
    <protectedRange sqref="A7:B10" name="Range1"/>
    <protectedRange sqref="B15:B16" name="Range2"/>
    <protectedRange sqref="A22:B26" name="Range3"/>
    <protectedRange sqref="D22:D26" name="Range4"/>
  </protectedRanges>
  <conditionalFormatting sqref="C7:D10">
    <cfRule type="cellIs" dxfId="7" priority="6" operator="equal">
      <formula>0</formula>
    </cfRule>
  </conditionalFormatting>
  <conditionalFormatting sqref="F22">
    <cfRule type="expression" dxfId="6" priority="5">
      <formula>ABS(($B$22-$F$22)/$B$22)&gt;0.01</formula>
    </cfRule>
  </conditionalFormatting>
  <conditionalFormatting sqref="F23">
    <cfRule type="expression" dxfId="5" priority="4">
      <formula>ABS(($B$23-$F$23)/$B$23)&gt;0.01</formula>
    </cfRule>
  </conditionalFormatting>
  <conditionalFormatting sqref="F24">
    <cfRule type="expression" dxfId="4" priority="3">
      <formula>ABS(($B$24-$F$24)/$B$24)&gt;0.01</formula>
    </cfRule>
  </conditionalFormatting>
  <conditionalFormatting sqref="F25">
    <cfRule type="expression" dxfId="3" priority="2">
      <formula>ABS(($B$25-$F$25)/$B$25)&gt;0.01</formula>
    </cfRule>
  </conditionalFormatting>
  <conditionalFormatting sqref="F26">
    <cfRule type="expression" dxfId="2" priority="1">
      <formula>ABS(($B$26-$F$26)/$B$26)&gt;0.01</formula>
    </cfRule>
  </conditionalFormatting>
  <dataValidations count="1">
    <dataValidation type="list" allowBlank="1" showInputMessage="1" showErrorMessage="1" sqref="A7:A10" xr:uid="{D4B7EBDF-D06B-485A-AB70-C1F6A30C55D2}">
      <formula1>$F$9:$F$16</formula1>
    </dataValidation>
  </dataValidations>
  <pageMargins left="0.4" right="0.4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FFAF4-50F4-4897-849C-EC3FC8AE6AED}">
  <dimension ref="A1:O33"/>
  <sheetViews>
    <sheetView workbookViewId="0">
      <selection activeCell="B4" sqref="B4"/>
    </sheetView>
  </sheetViews>
  <sheetFormatPr defaultRowHeight="15" x14ac:dyDescent="0.25"/>
  <cols>
    <col min="1" max="1" width="43.85546875" customWidth="1"/>
    <col min="2" max="2" width="11.5703125" bestFit="1" customWidth="1"/>
    <col min="3" max="3" width="7.140625" bestFit="1" customWidth="1"/>
    <col min="4" max="4" width="15.28515625" bestFit="1" customWidth="1"/>
    <col min="5" max="5" width="11.140625" bestFit="1" customWidth="1"/>
    <col min="6" max="6" width="6.7109375" customWidth="1"/>
    <col min="7" max="7" width="48.28515625" customWidth="1"/>
    <col min="8" max="8" width="5.140625" bestFit="1" customWidth="1"/>
    <col min="9" max="9" width="6.140625" customWidth="1"/>
    <col min="10" max="10" width="12.28515625" bestFit="1" customWidth="1"/>
    <col min="11" max="11" width="11.140625" bestFit="1" customWidth="1"/>
    <col min="12" max="12" width="8.85546875" bestFit="1" customWidth="1"/>
    <col min="13" max="13" width="19.28515625" bestFit="1" customWidth="1"/>
    <col min="14" max="14" width="10.5703125" bestFit="1" customWidth="1"/>
    <col min="15" max="15" width="7.7109375" bestFit="1" customWidth="1"/>
  </cols>
  <sheetData>
    <row r="1" spans="1:15" x14ac:dyDescent="0.25">
      <c r="A1" s="17" t="s">
        <v>88</v>
      </c>
    </row>
    <row r="2" spans="1:15" x14ac:dyDescent="0.25">
      <c r="A2" s="61" t="str">
        <f>IDAP!A2</f>
        <v>Project Name</v>
      </c>
      <c r="G2" s="4"/>
    </row>
    <row r="3" spans="1:15" x14ac:dyDescent="0.25">
      <c r="A3" s="62" t="str">
        <f>IDAP!A3</f>
        <v>Date</v>
      </c>
      <c r="D3" s="3"/>
      <c r="E3" s="4" t="s">
        <v>10</v>
      </c>
      <c r="G3" s="4"/>
    </row>
    <row r="4" spans="1:15" x14ac:dyDescent="0.25">
      <c r="D4" s="49"/>
      <c r="E4" s="49"/>
      <c r="F4" s="49"/>
    </row>
    <row r="5" spans="1:15" x14ac:dyDescent="0.25">
      <c r="A5" s="17" t="s">
        <v>47</v>
      </c>
      <c r="D5" s="49"/>
      <c r="E5" s="49"/>
      <c r="F5" s="49"/>
      <c r="G5" s="43" t="s">
        <v>80</v>
      </c>
      <c r="J5" s="17" t="s">
        <v>78</v>
      </c>
    </row>
    <row r="6" spans="1:15" ht="31.5" x14ac:dyDescent="0.35">
      <c r="A6" s="14" t="s">
        <v>44</v>
      </c>
      <c r="B6" s="14" t="s">
        <v>23</v>
      </c>
      <c r="C6" s="14" t="s">
        <v>45</v>
      </c>
      <c r="D6" s="63"/>
      <c r="E6" s="63"/>
      <c r="F6" s="49"/>
      <c r="G6" s="32" t="str">
        <f>HYPERLINK("https://www.usgbc.org/credits/new-construction-core-and-shell-schools-new-construction-retail-new-construction-healthc-110","LEED Alternative Performance Rating Method")</f>
        <v>LEED Alternative Performance Rating Method</v>
      </c>
      <c r="J6" s="38" t="s">
        <v>72</v>
      </c>
      <c r="K6" s="38" t="s">
        <v>73</v>
      </c>
      <c r="L6" s="38" t="s">
        <v>74</v>
      </c>
      <c r="M6" s="39" t="s">
        <v>75</v>
      </c>
      <c r="N6" s="38" t="s">
        <v>76</v>
      </c>
      <c r="O6" s="38" t="s">
        <v>77</v>
      </c>
    </row>
    <row r="7" spans="1:15" x14ac:dyDescent="0.25">
      <c r="A7" s="54"/>
      <c r="B7" s="55"/>
      <c r="C7" s="10">
        <f>IF(ISBLANK(A7),,VLOOKUP($A7,$G$8:$H$14,2,FALSE))</f>
        <v>0</v>
      </c>
      <c r="D7" s="64"/>
      <c r="E7" s="64"/>
      <c r="F7" s="49"/>
      <c r="G7" s="24" t="s">
        <v>37</v>
      </c>
      <c r="H7" s="24" t="s">
        <v>43</v>
      </c>
      <c r="J7" s="40">
        <v>0.06</v>
      </c>
      <c r="K7" s="40">
        <v>0.04</v>
      </c>
      <c r="L7" s="40">
        <v>0.03</v>
      </c>
      <c r="M7" s="41">
        <v>1</v>
      </c>
      <c r="N7" s="41">
        <v>3</v>
      </c>
      <c r="O7" s="41">
        <v>1</v>
      </c>
    </row>
    <row r="8" spans="1:15" x14ac:dyDescent="0.25">
      <c r="A8" s="54"/>
      <c r="B8" s="55"/>
      <c r="C8" s="10">
        <f>IF(ISBLANK(A8),,VLOOKUP($A8,$G$8:$H$14,2,FALSE))</f>
        <v>0</v>
      </c>
      <c r="D8" s="64"/>
      <c r="E8" s="64"/>
      <c r="F8" s="49"/>
      <c r="G8" s="25" t="s">
        <v>38</v>
      </c>
      <c r="H8" s="26">
        <v>0.72</v>
      </c>
      <c r="J8" s="40">
        <v>0.08</v>
      </c>
      <c r="K8" s="40">
        <v>0.06</v>
      </c>
      <c r="L8" s="40">
        <v>0.05</v>
      </c>
      <c r="M8" s="41">
        <v>2</v>
      </c>
      <c r="N8" s="41">
        <v>4</v>
      </c>
      <c r="O8" s="41">
        <v>2</v>
      </c>
    </row>
    <row r="9" spans="1:15" x14ac:dyDescent="0.25">
      <c r="A9" s="54"/>
      <c r="B9" s="55"/>
      <c r="C9" s="10">
        <f>IF(ISBLANK(A9),,VLOOKUP($A9,$G$8:$H$14,2,FALSE))</f>
        <v>0</v>
      </c>
      <c r="D9" s="64"/>
      <c r="E9" s="64"/>
      <c r="F9" s="49"/>
      <c r="G9" s="25" t="s">
        <v>39</v>
      </c>
      <c r="H9" s="26">
        <v>0.72</v>
      </c>
      <c r="J9" s="40">
        <v>0.1</v>
      </c>
      <c r="K9" s="40">
        <v>0.08</v>
      </c>
      <c r="L9" s="40">
        <v>7.0000000000000007E-2</v>
      </c>
      <c r="M9" s="41">
        <v>3</v>
      </c>
      <c r="N9" s="41">
        <v>5</v>
      </c>
      <c r="O9" s="41">
        <v>3</v>
      </c>
    </row>
    <row r="10" spans="1:15" x14ac:dyDescent="0.25">
      <c r="A10" s="12" t="s">
        <v>24</v>
      </c>
      <c r="B10" s="13">
        <f>SUM(B7:B9)</f>
        <v>0</v>
      </c>
      <c r="C10" s="20">
        <f>IF(B10=0,,($B$7*C7+$B$8*C8+$B$9*C9)/$B$10)</f>
        <v>0</v>
      </c>
      <c r="D10" s="64"/>
      <c r="E10" s="64"/>
      <c r="F10" s="49"/>
      <c r="G10" s="25" t="s">
        <v>0</v>
      </c>
      <c r="H10" s="26">
        <v>0.65</v>
      </c>
      <c r="J10" s="40">
        <v>0.12</v>
      </c>
      <c r="K10" s="40">
        <v>0.1</v>
      </c>
      <c r="L10" s="40">
        <v>0.09</v>
      </c>
      <c r="M10" s="41">
        <v>4</v>
      </c>
      <c r="N10" s="41">
        <v>6</v>
      </c>
      <c r="O10" s="41">
        <v>4</v>
      </c>
    </row>
    <row r="11" spans="1:15" x14ac:dyDescent="0.25">
      <c r="A11" s="67"/>
      <c r="B11" s="68"/>
      <c r="C11" s="59"/>
      <c r="D11" s="59"/>
      <c r="E11" s="59"/>
      <c r="F11" s="49"/>
      <c r="G11" s="25" t="s">
        <v>40</v>
      </c>
      <c r="H11" s="26">
        <v>0.69</v>
      </c>
      <c r="J11" s="40">
        <v>0.14000000000000001</v>
      </c>
      <c r="K11" s="40">
        <v>0.12</v>
      </c>
      <c r="L11" s="40">
        <v>0.11</v>
      </c>
      <c r="M11" s="41">
        <v>5</v>
      </c>
      <c r="N11" s="41">
        <v>7</v>
      </c>
      <c r="O11" s="41">
        <v>5</v>
      </c>
    </row>
    <row r="12" spans="1:15" x14ac:dyDescent="0.25">
      <c r="A12" s="49"/>
      <c r="B12" s="49"/>
      <c r="C12" s="49"/>
      <c r="D12" s="59"/>
      <c r="E12" s="59"/>
      <c r="F12" s="49"/>
      <c r="G12" s="25" t="s">
        <v>41</v>
      </c>
      <c r="H12" s="26">
        <v>0.76</v>
      </c>
      <c r="J12" s="40">
        <v>0.16</v>
      </c>
      <c r="K12" s="40">
        <v>0.14000000000000001</v>
      </c>
      <c r="L12" s="40">
        <v>0.13</v>
      </c>
      <c r="M12" s="41">
        <v>6</v>
      </c>
      <c r="N12" s="41">
        <v>8</v>
      </c>
      <c r="O12" s="41">
        <v>6</v>
      </c>
    </row>
    <row r="13" spans="1:15" x14ac:dyDescent="0.25">
      <c r="A13" s="9" t="s">
        <v>28</v>
      </c>
      <c r="B13" s="56"/>
      <c r="C13" s="58"/>
      <c r="D13" s="49"/>
      <c r="E13" s="49"/>
      <c r="F13" s="49"/>
      <c r="G13" s="25" t="s">
        <v>18</v>
      </c>
      <c r="H13" s="26">
        <v>0.7</v>
      </c>
      <c r="J13" s="40">
        <v>0.18</v>
      </c>
      <c r="K13" s="40">
        <v>0.16</v>
      </c>
      <c r="L13" s="40">
        <v>0.15</v>
      </c>
      <c r="M13" s="41">
        <v>7</v>
      </c>
      <c r="N13" s="41">
        <v>9</v>
      </c>
      <c r="O13" s="41">
        <v>7</v>
      </c>
    </row>
    <row r="14" spans="1:15" x14ac:dyDescent="0.25">
      <c r="A14" s="9" t="s">
        <v>29</v>
      </c>
      <c r="B14" s="56"/>
      <c r="C14" s="58"/>
      <c r="D14" s="49"/>
      <c r="E14" s="49"/>
      <c r="F14" s="49"/>
      <c r="G14" s="25" t="s">
        <v>42</v>
      </c>
      <c r="H14" s="26">
        <v>0.89</v>
      </c>
      <c r="J14" s="40">
        <v>0.2</v>
      </c>
      <c r="K14" s="40">
        <v>0.18</v>
      </c>
      <c r="L14" s="40">
        <v>0.17</v>
      </c>
      <c r="M14" s="41">
        <v>8</v>
      </c>
      <c r="N14" s="41">
        <v>10</v>
      </c>
      <c r="O14" s="41">
        <v>8</v>
      </c>
    </row>
    <row r="15" spans="1:15" x14ac:dyDescent="0.25">
      <c r="A15" s="9" t="s">
        <v>63</v>
      </c>
      <c r="B15" s="8" t="str">
        <f>IF(OR(ISBLANK(B13),ISBLANK(B14)),"",SUM(B13:B14))</f>
        <v/>
      </c>
      <c r="C15" s="65"/>
      <c r="D15" s="49"/>
      <c r="E15" s="49"/>
      <c r="F15" s="49"/>
      <c r="G15" s="45" t="s">
        <v>81</v>
      </c>
      <c r="H15" s="46"/>
      <c r="J15" s="40">
        <v>0.22</v>
      </c>
      <c r="K15" s="40">
        <v>0.2</v>
      </c>
      <c r="L15" s="40">
        <v>0.19</v>
      </c>
      <c r="M15" s="41">
        <v>9</v>
      </c>
      <c r="N15" s="41">
        <v>11</v>
      </c>
      <c r="O15" s="41">
        <v>9</v>
      </c>
    </row>
    <row r="16" spans="1:15" ht="18" x14ac:dyDescent="0.35">
      <c r="A16" s="9" t="s">
        <v>86</v>
      </c>
      <c r="B16" s="28" t="str">
        <f>IF(OR(ISBLANK(B13),ISBLANK(B14)),"",(B13+C10*B14)/B15)</f>
        <v/>
      </c>
      <c r="C16" s="49"/>
      <c r="D16" s="49"/>
      <c r="E16" s="49"/>
      <c r="F16" s="49"/>
      <c r="H16" s="11"/>
      <c r="J16" s="40">
        <v>0.24</v>
      </c>
      <c r="K16" s="40">
        <v>0.22</v>
      </c>
      <c r="L16" s="40">
        <v>0.21</v>
      </c>
      <c r="M16" s="41">
        <v>10</v>
      </c>
      <c r="N16" s="41">
        <v>12</v>
      </c>
      <c r="O16" s="41">
        <v>10</v>
      </c>
    </row>
    <row r="17" spans="1:15" x14ac:dyDescent="0.25">
      <c r="A17" s="27" t="s">
        <v>62</v>
      </c>
      <c r="B17" s="1"/>
      <c r="C17" s="65"/>
      <c r="D17" s="49"/>
      <c r="E17" s="49"/>
      <c r="F17" s="49"/>
      <c r="G17" s="49"/>
      <c r="H17" s="49"/>
      <c r="I17" s="49"/>
      <c r="J17" s="40">
        <v>0.26</v>
      </c>
      <c r="K17" s="40">
        <v>0.24</v>
      </c>
      <c r="L17" s="40">
        <v>0.23</v>
      </c>
      <c r="M17" s="41">
        <v>11</v>
      </c>
      <c r="N17" s="41">
        <v>13</v>
      </c>
      <c r="O17" s="41">
        <v>11</v>
      </c>
    </row>
    <row r="18" spans="1:15" x14ac:dyDescent="0.25">
      <c r="A18" s="65"/>
      <c r="B18" s="69"/>
      <c r="C18" s="65"/>
      <c r="D18" s="49"/>
      <c r="E18" s="49"/>
      <c r="F18" s="49"/>
      <c r="G18" s="49"/>
      <c r="H18" s="49"/>
      <c r="I18" s="49"/>
      <c r="J18" s="40">
        <v>0.28999999999999998</v>
      </c>
      <c r="K18" s="40">
        <v>0.27</v>
      </c>
      <c r="L18" s="40">
        <v>0.26</v>
      </c>
      <c r="M18" s="41">
        <v>12</v>
      </c>
      <c r="N18" s="41">
        <v>14</v>
      </c>
      <c r="O18" s="41">
        <v>12</v>
      </c>
    </row>
    <row r="19" spans="1:15" x14ac:dyDescent="0.25">
      <c r="A19" s="70" t="s">
        <v>64</v>
      </c>
      <c r="B19" s="69"/>
      <c r="C19" s="49"/>
      <c r="D19" s="49"/>
      <c r="E19" s="49"/>
      <c r="F19" s="49"/>
      <c r="G19" s="49"/>
      <c r="H19" s="49"/>
      <c r="I19" s="49"/>
      <c r="J19" s="40">
        <v>0.32</v>
      </c>
      <c r="K19" s="40">
        <v>0.3</v>
      </c>
      <c r="L19" s="40">
        <v>0.28999999999999998</v>
      </c>
      <c r="M19" s="41">
        <v>13</v>
      </c>
      <c r="N19" s="41">
        <v>15</v>
      </c>
      <c r="O19" s="41">
        <v>13</v>
      </c>
    </row>
    <row r="20" spans="1:15" x14ac:dyDescent="0.25">
      <c r="A20" s="16" t="s">
        <v>6</v>
      </c>
      <c r="B20" s="14" t="s">
        <v>51</v>
      </c>
      <c r="C20" s="29" t="s">
        <v>52</v>
      </c>
      <c r="D20" s="18" t="s">
        <v>46</v>
      </c>
      <c r="E20" s="37" t="s">
        <v>70</v>
      </c>
      <c r="G20" s="49"/>
      <c r="H20" s="49"/>
      <c r="I20" s="49"/>
      <c r="J20" s="40">
        <v>0.35</v>
      </c>
      <c r="K20" s="40">
        <v>0.33</v>
      </c>
      <c r="L20" s="40">
        <v>0.32</v>
      </c>
      <c r="M20" s="41">
        <v>14</v>
      </c>
      <c r="N20" s="41">
        <v>16</v>
      </c>
      <c r="O20" s="41">
        <v>14</v>
      </c>
    </row>
    <row r="21" spans="1:15" x14ac:dyDescent="0.25">
      <c r="A21" s="5" t="s">
        <v>3</v>
      </c>
      <c r="B21" s="57"/>
      <c r="C21" s="10" t="str">
        <f>IF(AND(ISNUMBER(B21),ISNUMBER($B$16)),B21/$B$15,"")</f>
        <v/>
      </c>
      <c r="D21" s="34" t="str">
        <f>IF(AND(ISNUMBER(B21),ISNUMBER($B$16)),($B$16-C21)/$B$16,"")</f>
        <v/>
      </c>
      <c r="E21" s="60"/>
      <c r="G21" s="49"/>
      <c r="H21" s="49"/>
      <c r="I21" s="49"/>
      <c r="J21" s="40">
        <v>0.38</v>
      </c>
      <c r="K21" s="40">
        <v>0.36</v>
      </c>
      <c r="L21" s="40">
        <v>0.35</v>
      </c>
      <c r="M21" s="41">
        <v>15</v>
      </c>
      <c r="N21" s="41">
        <v>17</v>
      </c>
      <c r="O21" s="41">
        <v>15</v>
      </c>
    </row>
    <row r="22" spans="1:15" x14ac:dyDescent="0.25">
      <c r="A22" s="5" t="s">
        <v>4</v>
      </c>
      <c r="B22" s="57"/>
      <c r="C22" s="10" t="str">
        <f t="shared" ref="C22:C25" si="0">IF(AND(ISNUMBER(B22),ISNUMBER($B$16)),B22/$B$15,"")</f>
        <v/>
      </c>
      <c r="D22" s="34" t="str">
        <f t="shared" ref="D22:D25" si="1">IF(AND(ISNUMBER(B22),ISNUMBER($B$16)),($B$16-C22)/$B$16,"")</f>
        <v/>
      </c>
      <c r="E22" s="60"/>
      <c r="G22" s="49"/>
      <c r="H22" s="49"/>
      <c r="I22" s="49"/>
      <c r="J22" s="40">
        <v>0.42</v>
      </c>
      <c r="K22" s="40">
        <v>0.4</v>
      </c>
      <c r="L22" s="40">
        <v>0.39</v>
      </c>
      <c r="M22" s="41">
        <v>16</v>
      </c>
      <c r="N22" s="41">
        <v>18</v>
      </c>
      <c r="O22" s="41">
        <v>16</v>
      </c>
    </row>
    <row r="23" spans="1:15" x14ac:dyDescent="0.25">
      <c r="A23" s="5" t="s">
        <v>5</v>
      </c>
      <c r="B23" s="57"/>
      <c r="C23" s="10" t="str">
        <f t="shared" si="0"/>
        <v/>
      </c>
      <c r="D23" s="34" t="str">
        <f t="shared" si="1"/>
        <v/>
      </c>
      <c r="E23" s="60"/>
      <c r="G23" s="49"/>
      <c r="H23" s="49"/>
      <c r="I23" s="49"/>
      <c r="J23" s="40">
        <v>0.46</v>
      </c>
      <c r="K23" s="40">
        <v>0.44</v>
      </c>
      <c r="L23" s="40">
        <v>0.43</v>
      </c>
      <c r="M23" s="41">
        <v>17</v>
      </c>
      <c r="N23" s="41">
        <v>19</v>
      </c>
      <c r="O23" s="42" t="s">
        <v>71</v>
      </c>
    </row>
    <row r="24" spans="1:15" x14ac:dyDescent="0.25">
      <c r="A24" s="5" t="s">
        <v>49</v>
      </c>
      <c r="B24" s="57"/>
      <c r="C24" s="10" t="str">
        <f t="shared" si="0"/>
        <v/>
      </c>
      <c r="D24" s="34" t="str">
        <f t="shared" si="1"/>
        <v/>
      </c>
      <c r="E24" s="60"/>
      <c r="G24" s="49"/>
      <c r="H24" s="49"/>
      <c r="I24" s="49"/>
      <c r="J24" s="40">
        <v>0.5</v>
      </c>
      <c r="K24" s="40">
        <v>0.48</v>
      </c>
      <c r="L24" s="40">
        <v>0.47</v>
      </c>
      <c r="M24" s="41">
        <v>18</v>
      </c>
      <c r="N24" s="41">
        <v>20</v>
      </c>
      <c r="O24" s="42" t="s">
        <v>71</v>
      </c>
    </row>
    <row r="25" spans="1:15" x14ac:dyDescent="0.25">
      <c r="A25" s="5" t="s">
        <v>50</v>
      </c>
      <c r="B25" s="57"/>
      <c r="C25" s="10" t="str">
        <f t="shared" si="0"/>
        <v/>
      </c>
      <c r="D25" s="34" t="str">
        <f t="shared" si="1"/>
        <v/>
      </c>
      <c r="E25" s="60"/>
      <c r="G25" s="49"/>
      <c r="H25" s="49"/>
      <c r="I25" s="49"/>
      <c r="J25" s="44" t="s">
        <v>79</v>
      </c>
    </row>
    <row r="26" spans="1:15" x14ac:dyDescent="0.25">
      <c r="A26" s="27" t="s">
        <v>85</v>
      </c>
      <c r="G26" s="49"/>
      <c r="H26" s="49"/>
      <c r="I26" s="49"/>
      <c r="J26" s="49"/>
      <c r="K26" s="49"/>
      <c r="L26" s="49"/>
      <c r="M26" s="49"/>
      <c r="N26" s="49"/>
      <c r="O26" s="49"/>
    </row>
    <row r="27" spans="1:15" x14ac:dyDescent="0.25">
      <c r="A27" s="27" t="s">
        <v>87</v>
      </c>
      <c r="G27" s="49"/>
      <c r="H27" s="49"/>
      <c r="I27" s="49"/>
      <c r="J27" s="49"/>
      <c r="K27" s="49"/>
      <c r="L27" s="49"/>
      <c r="M27" s="49"/>
      <c r="N27" s="49"/>
      <c r="O27" s="49"/>
    </row>
    <row r="28" spans="1:15" x14ac:dyDescent="0.25">
      <c r="A28" s="65"/>
      <c r="B28" s="49"/>
      <c r="C28" s="64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1:15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</row>
    <row r="30" spans="1:15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15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</sheetData>
  <sheetProtection sheet="1" objects="1" scenarios="1"/>
  <protectedRanges>
    <protectedRange sqref="A7:B9" name="Range1"/>
    <protectedRange sqref="B13:B14" name="Range2"/>
    <protectedRange sqref="A21:B25" name="Range3"/>
  </protectedRanges>
  <conditionalFormatting sqref="C7:E10">
    <cfRule type="cellIs" dxfId="1" priority="1" operator="equal">
      <formula>0</formula>
    </cfRule>
  </conditionalFormatting>
  <dataValidations count="1">
    <dataValidation type="list" allowBlank="1" showInputMessage="1" showErrorMessage="1" sqref="A7:A9" xr:uid="{8D962FC7-93D4-40F4-974A-B097FFDE3B42}">
      <formula1>$G$8:$G$14</formula1>
    </dataValidation>
  </dataValidations>
  <pageMargins left="0.4" right="0.4" top="0.75" bottom="0.75" header="0.3" footer="0.3"/>
  <pageSetup orientation="landscape" r:id="rId1"/>
  <ignoredErrors>
    <ignoredError sqref="A2:A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4052-E380-460C-A9BB-626B4F6FA193}">
  <dimension ref="A1:M35"/>
  <sheetViews>
    <sheetView workbookViewId="0">
      <selection activeCell="B16" sqref="B16"/>
    </sheetView>
  </sheetViews>
  <sheetFormatPr defaultRowHeight="15" x14ac:dyDescent="0.25"/>
  <cols>
    <col min="1" max="1" width="29.85546875" customWidth="1"/>
    <col min="2" max="2" width="11.5703125" bestFit="1" customWidth="1"/>
    <col min="3" max="3" width="10.5703125" bestFit="1" customWidth="1"/>
    <col min="4" max="4" width="13.5703125" customWidth="1"/>
    <col min="5" max="5" width="10.5703125" customWidth="1"/>
    <col min="6" max="6" width="18.85546875" customWidth="1"/>
    <col min="7" max="7" width="13.28515625" customWidth="1"/>
    <col min="8" max="8" width="13" customWidth="1"/>
    <col min="9" max="9" width="18.85546875" bestFit="1" customWidth="1"/>
  </cols>
  <sheetData>
    <row r="1" spans="1:13" x14ac:dyDescent="0.25">
      <c r="A1" s="17" t="s">
        <v>89</v>
      </c>
    </row>
    <row r="2" spans="1:13" x14ac:dyDescent="0.25">
      <c r="A2" s="61" t="str">
        <f>IDAP!A2</f>
        <v>Project Name</v>
      </c>
    </row>
    <row r="3" spans="1:13" x14ac:dyDescent="0.25">
      <c r="A3" s="62" t="str">
        <f>IDAP!A3</f>
        <v>Date</v>
      </c>
    </row>
    <row r="4" spans="1:13" x14ac:dyDescent="0.25">
      <c r="A4" s="49" t="s">
        <v>95</v>
      </c>
      <c r="F4" s="4"/>
    </row>
    <row r="5" spans="1:13" x14ac:dyDescent="0.25">
      <c r="A5" s="49" t="s">
        <v>96</v>
      </c>
      <c r="D5" s="3"/>
      <c r="E5" s="4" t="s">
        <v>10</v>
      </c>
      <c r="F5" s="4"/>
    </row>
    <row r="7" spans="1:13" x14ac:dyDescent="0.25">
      <c r="A7" s="17" t="s">
        <v>47</v>
      </c>
      <c r="F7" s="17" t="s">
        <v>25</v>
      </c>
    </row>
    <row r="8" spans="1:13" ht="18" x14ac:dyDescent="0.35">
      <c r="A8" s="14" t="s">
        <v>58</v>
      </c>
      <c r="B8" s="14" t="s">
        <v>23</v>
      </c>
      <c r="C8" s="15" t="s">
        <v>21</v>
      </c>
      <c r="D8" s="63"/>
      <c r="E8" s="49"/>
      <c r="F8" t="s">
        <v>26</v>
      </c>
    </row>
    <row r="9" spans="1:13" ht="18" x14ac:dyDescent="0.35">
      <c r="A9" s="54"/>
      <c r="B9" s="55"/>
      <c r="C9" s="10">
        <f>IF(ISBLANK(A9),,VLOOKUP($A9,$F$10:$G$16,2,FALSE))</f>
        <v>0</v>
      </c>
      <c r="D9" s="64"/>
      <c r="E9" s="49"/>
      <c r="F9" s="14" t="s">
        <v>12</v>
      </c>
      <c r="G9" s="15" t="s">
        <v>21</v>
      </c>
    </row>
    <row r="10" spans="1:13" x14ac:dyDescent="0.25">
      <c r="A10" s="54"/>
      <c r="B10" s="55"/>
      <c r="C10" s="10"/>
      <c r="D10" s="64"/>
      <c r="E10" s="49"/>
      <c r="F10" s="5" t="s">
        <v>13</v>
      </c>
      <c r="G10" s="10">
        <v>0.8</v>
      </c>
    </row>
    <row r="11" spans="1:13" x14ac:dyDescent="0.25">
      <c r="A11" s="54"/>
      <c r="B11" s="55"/>
      <c r="C11" s="10">
        <f t="shared" ref="C11:C12" si="0">IF(ISBLANK(A11),,VLOOKUP($A11,$F$10:$G$16,2,FALSE))</f>
        <v>0</v>
      </c>
      <c r="D11" s="64">
        <f t="shared" ref="D11:D12" si="1">B11*C11</f>
        <v>0</v>
      </c>
      <c r="E11" s="49"/>
      <c r="F11" s="5" t="s">
        <v>14</v>
      </c>
      <c r="G11" s="10">
        <v>0.61</v>
      </c>
    </row>
    <row r="12" spans="1:13" x14ac:dyDescent="0.25">
      <c r="A12" s="54"/>
      <c r="B12" s="55"/>
      <c r="C12" s="10">
        <f t="shared" si="0"/>
        <v>0</v>
      </c>
      <c r="D12" s="64">
        <f t="shared" si="1"/>
        <v>0</v>
      </c>
      <c r="E12" s="49"/>
      <c r="F12" s="5" t="s">
        <v>15</v>
      </c>
      <c r="G12" s="10">
        <v>0.61</v>
      </c>
    </row>
    <row r="13" spans="1:13" x14ac:dyDescent="0.25">
      <c r="A13" s="12" t="s">
        <v>24</v>
      </c>
      <c r="B13" s="13">
        <f>SUM(B9:B12)</f>
        <v>0</v>
      </c>
      <c r="C13" s="20">
        <f>IF(B13=0,,($B$9*C9+$B$10*C10+$B$11*C11+$B$12*C12)/$B$13)</f>
        <v>0</v>
      </c>
      <c r="D13" s="64"/>
      <c r="E13" s="49"/>
      <c r="F13" s="5" t="s">
        <v>16</v>
      </c>
      <c r="G13" s="10">
        <v>0.57999999999999996</v>
      </c>
    </row>
    <row r="14" spans="1:13" x14ac:dyDescent="0.25">
      <c r="A14" s="17"/>
      <c r="B14" s="22"/>
      <c r="C14" s="59"/>
      <c r="D14" s="59"/>
      <c r="E14" s="49"/>
      <c r="F14" s="5" t="s">
        <v>17</v>
      </c>
      <c r="G14" s="10">
        <v>0.59</v>
      </c>
    </row>
    <row r="15" spans="1:13" x14ac:dyDescent="0.25">
      <c r="A15" s="17" t="s">
        <v>65</v>
      </c>
      <c r="C15" s="49"/>
      <c r="D15" s="59"/>
      <c r="E15" s="49"/>
      <c r="F15" s="5" t="s">
        <v>0</v>
      </c>
      <c r="G15" s="10">
        <v>0.5</v>
      </c>
    </row>
    <row r="16" spans="1:13" x14ac:dyDescent="0.25">
      <c r="A16" s="36" t="s">
        <v>28</v>
      </c>
      <c r="B16" s="56"/>
      <c r="C16" s="58"/>
      <c r="D16" s="49"/>
      <c r="E16" s="49"/>
      <c r="F16" s="5" t="s">
        <v>18</v>
      </c>
      <c r="G16" s="10">
        <v>0.61</v>
      </c>
      <c r="M16" s="11"/>
    </row>
    <row r="17" spans="1:13" x14ac:dyDescent="0.25">
      <c r="A17" s="36" t="s">
        <v>29</v>
      </c>
      <c r="B17" s="56"/>
      <c r="C17" s="58"/>
      <c r="D17" s="49"/>
      <c r="E17" s="49"/>
      <c r="F17" s="5" t="s">
        <v>19</v>
      </c>
      <c r="G17" s="10">
        <v>0.56999999999999995</v>
      </c>
      <c r="M17" s="11"/>
    </row>
    <row r="18" spans="1:13" x14ac:dyDescent="0.25">
      <c r="A18" s="36" t="s">
        <v>66</v>
      </c>
      <c r="B18" s="8">
        <f>SUM(B16:B17)</f>
        <v>0</v>
      </c>
      <c r="C18" s="65"/>
      <c r="D18" s="49"/>
      <c r="E18" s="49"/>
      <c r="F18" s="49"/>
      <c r="G18" s="49"/>
      <c r="M18" s="11"/>
    </row>
    <row r="19" spans="1:13" ht="18" x14ac:dyDescent="0.35">
      <c r="A19" s="36" t="s">
        <v>61</v>
      </c>
      <c r="B19" s="28" t="str">
        <f>IF(OR(ISBLANK(B16),ISBLANK(B17),C13=0),"",(B16+C13*B17)/B18)</f>
        <v/>
      </c>
      <c r="C19" s="65"/>
      <c r="D19" s="49"/>
      <c r="E19" s="49"/>
      <c r="F19" s="49"/>
      <c r="G19" s="49"/>
      <c r="M19" s="11"/>
    </row>
    <row r="20" spans="1:13" x14ac:dyDescent="0.25">
      <c r="A20" s="27" t="s">
        <v>62</v>
      </c>
      <c r="B20" s="35"/>
      <c r="C20" s="27"/>
      <c r="E20" s="49"/>
      <c r="F20" s="49"/>
      <c r="G20" s="49"/>
      <c r="M20" s="11"/>
    </row>
    <row r="21" spans="1:13" x14ac:dyDescent="0.25">
      <c r="A21" s="2"/>
      <c r="B21" s="1"/>
      <c r="C21" s="27"/>
      <c r="E21" s="49"/>
      <c r="F21" s="49"/>
      <c r="G21" s="49"/>
      <c r="M21" s="11"/>
    </row>
    <row r="22" spans="1:13" x14ac:dyDescent="0.25">
      <c r="A22" s="17" t="s">
        <v>64</v>
      </c>
      <c r="B22" s="1"/>
      <c r="E22" s="49"/>
      <c r="F22" s="49"/>
      <c r="G22" s="49"/>
      <c r="M22" s="11"/>
    </row>
    <row r="23" spans="1:13" x14ac:dyDescent="0.25">
      <c r="A23" s="31" t="s">
        <v>6</v>
      </c>
      <c r="B23" s="29" t="s">
        <v>51</v>
      </c>
      <c r="C23" s="29" t="s">
        <v>52</v>
      </c>
      <c r="D23" s="31" t="s">
        <v>48</v>
      </c>
      <c r="E23" s="49"/>
      <c r="F23" s="49"/>
      <c r="G23" s="49"/>
      <c r="M23" s="11"/>
    </row>
    <row r="24" spans="1:13" x14ac:dyDescent="0.25">
      <c r="A24" s="66" t="s">
        <v>3</v>
      </c>
      <c r="B24" s="57"/>
      <c r="C24" s="10" t="str">
        <f>IF(AND(ISNUMBER($B$19),ISNUMBER(B24)),B24/$B$18,"")</f>
        <v/>
      </c>
      <c r="D24" s="30" t="str">
        <f>IF(AND(ISNUMBER($B$19),ISNUMBER(B24)),IF(C24&lt;=$B$19,"Yes","No"),"")</f>
        <v/>
      </c>
      <c r="E24" s="49"/>
      <c r="F24" s="49"/>
      <c r="G24" s="49"/>
      <c r="M24" s="11"/>
    </row>
    <row r="25" spans="1:13" x14ac:dyDescent="0.25">
      <c r="A25" s="66" t="s">
        <v>4</v>
      </c>
      <c r="B25" s="57"/>
      <c r="C25" s="10" t="str">
        <f t="shared" ref="C25:C28" si="2">IF(AND(ISNUMBER($B$19),ISNUMBER(B25)),B25/$B$18,"")</f>
        <v/>
      </c>
      <c r="D25" s="30" t="str">
        <f t="shared" ref="D25:D28" si="3">IF(AND(ISNUMBER($B$19),ISNUMBER(B25)),IF(C25&lt;=$B$19,"Yes","No"),"")</f>
        <v/>
      </c>
      <c r="E25" s="49"/>
      <c r="F25" s="49"/>
      <c r="G25" s="49"/>
      <c r="M25" s="11"/>
    </row>
    <row r="26" spans="1:13" x14ac:dyDescent="0.25">
      <c r="A26" s="66" t="s">
        <v>5</v>
      </c>
      <c r="B26" s="57"/>
      <c r="C26" s="10" t="str">
        <f t="shared" si="2"/>
        <v/>
      </c>
      <c r="D26" s="30" t="str">
        <f t="shared" si="3"/>
        <v/>
      </c>
      <c r="E26" s="49"/>
      <c r="F26" s="49"/>
      <c r="G26" s="49"/>
      <c r="M26" s="11"/>
    </row>
    <row r="27" spans="1:13" x14ac:dyDescent="0.25">
      <c r="A27" s="66" t="s">
        <v>49</v>
      </c>
      <c r="B27" s="57"/>
      <c r="C27" s="10" t="str">
        <f t="shared" si="2"/>
        <v/>
      </c>
      <c r="D27" s="30" t="str">
        <f t="shared" si="3"/>
        <v/>
      </c>
      <c r="E27" s="49"/>
      <c r="F27" s="49"/>
      <c r="G27" s="49"/>
      <c r="M27" s="11"/>
    </row>
    <row r="28" spans="1:13" x14ac:dyDescent="0.25">
      <c r="A28" s="66" t="s">
        <v>50</v>
      </c>
      <c r="B28" s="57"/>
      <c r="C28" s="10" t="str">
        <f t="shared" si="2"/>
        <v/>
      </c>
      <c r="D28" s="30" t="str">
        <f t="shared" si="3"/>
        <v/>
      </c>
      <c r="E28" s="49"/>
      <c r="F28" s="49"/>
      <c r="G28" s="49"/>
    </row>
    <row r="29" spans="1:13" x14ac:dyDescent="0.25">
      <c r="A29" s="27" t="s">
        <v>54</v>
      </c>
      <c r="E29" s="49"/>
      <c r="F29" s="49"/>
      <c r="G29" s="49"/>
    </row>
    <row r="30" spans="1:13" x14ac:dyDescent="0.25">
      <c r="A30" s="27" t="s">
        <v>53</v>
      </c>
      <c r="E30" s="49"/>
      <c r="F30" s="49"/>
      <c r="G30" s="49"/>
    </row>
    <row r="31" spans="1:13" x14ac:dyDescent="0.25">
      <c r="A31" s="49"/>
      <c r="B31" s="49"/>
      <c r="C31" s="49"/>
      <c r="D31" s="49"/>
      <c r="E31" s="49"/>
      <c r="F31" s="49"/>
      <c r="G31" s="49"/>
    </row>
    <row r="32" spans="1:13" x14ac:dyDescent="0.25">
      <c r="A32" s="49"/>
      <c r="B32" s="49"/>
      <c r="C32" s="64"/>
      <c r="D32" s="49"/>
      <c r="E32" s="49"/>
      <c r="F32" s="49"/>
      <c r="G32" s="49"/>
    </row>
    <row r="33" spans="1:7" x14ac:dyDescent="0.25">
      <c r="A33" s="49"/>
      <c r="B33" s="49"/>
      <c r="C33" s="49"/>
      <c r="D33" s="49"/>
      <c r="E33" s="49"/>
      <c r="F33" s="49"/>
      <c r="G33" s="49"/>
    </row>
    <row r="34" spans="1:7" x14ac:dyDescent="0.25">
      <c r="A34" s="49"/>
      <c r="B34" s="49"/>
      <c r="C34" s="49"/>
      <c r="D34" s="49"/>
      <c r="E34" s="49"/>
      <c r="F34" s="49"/>
      <c r="G34" s="49"/>
    </row>
    <row r="35" spans="1:7" x14ac:dyDescent="0.25">
      <c r="A35" s="49"/>
      <c r="B35" s="49"/>
      <c r="C35" s="49"/>
      <c r="D35" s="49"/>
      <c r="E35" s="49"/>
      <c r="F35" s="49"/>
      <c r="G35" s="49"/>
    </row>
  </sheetData>
  <sheetProtection sheet="1" objects="1" scenarios="1"/>
  <protectedRanges>
    <protectedRange sqref="A9:B12" name="Range1"/>
    <protectedRange sqref="B16:B17" name="Range2"/>
    <protectedRange sqref="A24:B28" name="Range3"/>
  </protectedRanges>
  <conditionalFormatting sqref="D13 C9:D12">
    <cfRule type="cellIs" dxfId="0" priority="1" operator="equal">
      <formula>0</formula>
    </cfRule>
  </conditionalFormatting>
  <dataValidations count="1">
    <dataValidation type="list" allowBlank="1" showInputMessage="1" showErrorMessage="1" sqref="A9:A12" xr:uid="{B85CD10E-2016-470D-A6E2-9E3FEF045911}">
      <formula1>$F$10:$F$17</formula1>
    </dataValidation>
  </dataValidations>
  <pageMargins left="0.7" right="0.7" top="0.75" bottom="0.75" header="0.3" footer="0.3"/>
  <pageSetup orientation="landscape" r:id="rId1"/>
  <ignoredErrors>
    <ignoredError sqref="A2:A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DD809-A96F-4513-9573-95447C52155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IDAP</vt:lpstr>
      <vt:lpstr>LEED</vt:lpstr>
      <vt:lpstr>Code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Schroeder</dc:creator>
  <cp:lastModifiedBy>Gary Schroeder</cp:lastModifiedBy>
  <cp:lastPrinted>2019-05-27T21:55:36Z</cp:lastPrinted>
  <dcterms:created xsi:type="dcterms:W3CDTF">2018-08-23T16:04:11Z</dcterms:created>
  <dcterms:modified xsi:type="dcterms:W3CDTF">2019-05-27T21:56:12Z</dcterms:modified>
</cp:coreProperties>
</file>